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que.pereira\Desktop\"/>
    </mc:Choice>
  </mc:AlternateContent>
  <xr:revisionPtr revIDLastSave="0" documentId="8_{0F2FC6B6-BD82-497E-99BD-39AAB4197C64}" xr6:coauthVersionLast="47" xr6:coauthVersionMax="47" xr10:uidLastSave="{00000000-0000-0000-0000-000000000000}"/>
  <bookViews>
    <workbookView xWindow="20370" yWindow="-120" windowWidth="29040" windowHeight="15840" xr2:uid="{E9F2CC87-94F5-E644-B80B-DA0875060226}"/>
  </bookViews>
  <sheets>
    <sheet name="Ordinária" sheetId="1" r:id="rId1"/>
    <sheet name="Expedito" sheetId="2" r:id="rId2"/>
    <sheet name="Emergência" sheetId="3" r:id="rId3"/>
    <sheet name="Mediação" sheetId="4" r:id="rId4"/>
  </sheets>
  <definedNames>
    <definedName name="_xlnm._FilterDatabase" localSheetId="2" hidden="1">Emergência!$B$3:$E$7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6" i="4"/>
  <c r="D30" i="4"/>
  <c r="D29" i="4"/>
  <c r="D28" i="4"/>
  <c r="D27" i="4"/>
  <c r="D26" i="4"/>
  <c r="D25" i="4"/>
  <c r="D24" i="4"/>
  <c r="E5" i="4" s="1"/>
  <c r="D19" i="4"/>
  <c r="D18" i="4"/>
  <c r="D17" i="4"/>
  <c r="E4" i="4" s="1"/>
  <c r="D42" i="3"/>
  <c r="D41" i="3"/>
  <c r="D40" i="3"/>
  <c r="D39" i="3"/>
  <c r="D38" i="3"/>
  <c r="D37" i="3"/>
  <c r="D36" i="3"/>
  <c r="D35" i="3"/>
  <c r="D34" i="3"/>
  <c r="D33" i="3"/>
  <c r="D27" i="3"/>
  <c r="D26" i="3"/>
  <c r="D25" i="3"/>
  <c r="D24" i="3"/>
  <c r="D23" i="3"/>
  <c r="D22" i="3"/>
  <c r="D21" i="3"/>
  <c r="D20" i="3"/>
  <c r="D32" i="3"/>
  <c r="D19" i="3"/>
  <c r="E5" i="3" s="1"/>
  <c r="D47" i="2"/>
  <c r="D46" i="2"/>
  <c r="D45" i="2"/>
  <c r="D44" i="2"/>
  <c r="D43" i="2"/>
  <c r="D42" i="2"/>
  <c r="D41" i="2"/>
  <c r="E6" i="2" s="1"/>
  <c r="D40" i="2"/>
  <c r="D39" i="2"/>
  <c r="D38" i="2"/>
  <c r="D32" i="2"/>
  <c r="D31" i="2"/>
  <c r="D30" i="2"/>
  <c r="D29" i="2"/>
  <c r="D28" i="2"/>
  <c r="D27" i="2"/>
  <c r="D26" i="2"/>
  <c r="D25" i="2"/>
  <c r="E5" i="2" s="1"/>
  <c r="D19" i="2"/>
  <c r="D18" i="2"/>
  <c r="E4" i="2" s="1"/>
  <c r="D48" i="2"/>
  <c r="D33" i="2"/>
  <c r="D20" i="2"/>
  <c r="D48" i="1"/>
  <c r="D47" i="1"/>
  <c r="D46" i="1"/>
  <c r="D45" i="1"/>
  <c r="D44" i="1"/>
  <c r="D43" i="1"/>
  <c r="D42" i="1"/>
  <c r="D41" i="1"/>
  <c r="D40" i="1"/>
  <c r="D39" i="1"/>
  <c r="D33" i="1"/>
  <c r="D32" i="1"/>
  <c r="D31" i="1"/>
  <c r="D30" i="1"/>
  <c r="D29" i="1"/>
  <c r="D28" i="1"/>
  <c r="D27" i="1"/>
  <c r="D26" i="1"/>
  <c r="D20" i="1"/>
  <c r="D19" i="1"/>
  <c r="D38" i="1"/>
  <c r="D25" i="1"/>
  <c r="D18" i="1"/>
  <c r="E6" i="3" l="1"/>
  <c r="E4" i="1"/>
  <c r="E5" i="1"/>
  <c r="E6" i="1"/>
  <c r="E7" i="1" s="1"/>
  <c r="E7" i="2"/>
  <c r="E7" i="3" l="1"/>
  <c r="E7" i="4"/>
  <c r="E8" i="2"/>
  <c r="E8" i="1"/>
</calcChain>
</file>

<file path=xl/sharedStrings.xml><?xml version="1.0" encoding="utf-8"?>
<sst xmlns="http://schemas.openxmlformats.org/spreadsheetml/2006/main" count="79" uniqueCount="24">
  <si>
    <t>Inserir o Valor da disputa</t>
  </si>
  <si>
    <t>Inserir quantidade de árbitros</t>
  </si>
  <si>
    <t>Custos</t>
  </si>
  <si>
    <t>Total</t>
  </si>
  <si>
    <t>DE</t>
  </si>
  <si>
    <t>ATE</t>
  </si>
  <si>
    <t>TOTAL</t>
  </si>
  <si>
    <t>TAXA DE REGISTRO</t>
  </si>
  <si>
    <t>TAXA DE ADMINISTRAÇÃO</t>
  </si>
  <si>
    <t>HONORÁRIOS DE ÁRBITRO</t>
  </si>
  <si>
    <t>Taxa de Registro</t>
  </si>
  <si>
    <t>Taxa de Administração</t>
  </si>
  <si>
    <t>Inserir previsão
Total Horas Mediador</t>
  </si>
  <si>
    <t>Honorários de Mediador</t>
  </si>
  <si>
    <t>Inserir o Valor da Hora Mediador</t>
  </si>
  <si>
    <t>Honorários Árbitro Único</t>
  </si>
  <si>
    <t xml:space="preserve">Honorários Árbitro Único/ Árbitro Presidente </t>
  </si>
  <si>
    <t>Honorários Co-árbitros</t>
  </si>
  <si>
    <r>
      <t>Simulador</t>
    </r>
    <r>
      <rPr>
        <b/>
        <sz val="10"/>
        <color theme="0"/>
        <rFont val="Calibri"/>
        <family val="2"/>
        <scheme val="minor"/>
      </rPr>
      <t>*</t>
    </r>
    <r>
      <rPr>
        <b/>
        <sz val="16"/>
        <color theme="0"/>
        <rFont val="Calibri"/>
        <family val="2"/>
        <scheme val="minor"/>
      </rPr>
      <t xml:space="preserve"> de Custos de Arbitragem Ordinária</t>
    </r>
  </si>
  <si>
    <t>*Os valores indicados no simulador de custos são meramente informativos e não tem o condão de substituir 
aqueles indicados nas Tabelas de Custos de Arbitragem e Mediação em caso de divergência de informções.</t>
  </si>
  <si>
    <r>
      <t>Simulador</t>
    </r>
    <r>
      <rPr>
        <b/>
        <sz val="10"/>
        <color theme="0"/>
        <rFont val="Calibri"/>
        <family val="2"/>
        <scheme val="minor"/>
      </rPr>
      <t>*</t>
    </r>
    <r>
      <rPr>
        <b/>
        <sz val="16"/>
        <color theme="0"/>
        <rFont val="Calibri"/>
        <family val="2"/>
        <scheme val="minor"/>
      </rPr>
      <t xml:space="preserve"> de Custos de Arbitragem de Emergência</t>
    </r>
  </si>
  <si>
    <t>*Os valores indicados no simulador de custos são meramente informativos e não tem o condão de substituir 
 aqueles indicados nas Tabelas de Custos de Arbitragem e Mediação em caso de divergência de informções.</t>
  </si>
  <si>
    <r>
      <t>Simulador</t>
    </r>
    <r>
      <rPr>
        <b/>
        <sz val="10"/>
        <color theme="0"/>
        <rFont val="Calibri"/>
        <family val="2"/>
        <scheme val="minor"/>
      </rPr>
      <t>*</t>
    </r>
    <r>
      <rPr>
        <b/>
        <sz val="16"/>
        <color theme="0"/>
        <rFont val="Calibri"/>
        <family val="2"/>
        <scheme val="minor"/>
      </rPr>
      <t xml:space="preserve"> de Custos de Procedimento Expedito</t>
    </r>
  </si>
  <si>
    <r>
      <t>Simulador</t>
    </r>
    <r>
      <rPr>
        <b/>
        <sz val="10"/>
        <color theme="0"/>
        <rFont val="Calibri"/>
        <family val="2"/>
        <scheme val="minor"/>
      </rPr>
      <t>*</t>
    </r>
    <r>
      <rPr>
        <b/>
        <sz val="16"/>
        <color theme="0"/>
        <rFont val="Calibri"/>
        <family val="2"/>
        <scheme val="minor"/>
      </rPr>
      <t xml:space="preserve"> de Custos de Mediação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</si>
</sst>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DCB4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44" fontId="0" fillId="3" borderId="6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44" fontId="2" fillId="3" borderId="9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44" fontId="0" fillId="3" borderId="0" xfId="0" applyNumberFormat="1" applyFill="1"/>
    <xf numFmtId="164" fontId="0" fillId="3" borderId="5" xfId="0" applyNumberFormat="1" applyFill="1" applyBorder="1"/>
    <xf numFmtId="164" fontId="0" fillId="3" borderId="1" xfId="0" applyNumberFormat="1" applyFill="1" applyBorder="1"/>
    <xf numFmtId="44" fontId="0" fillId="3" borderId="6" xfId="1" applyFont="1" applyFill="1" applyBorder="1"/>
    <xf numFmtId="164" fontId="0" fillId="3" borderId="7" xfId="0" applyNumberFormat="1" applyFill="1" applyBorder="1"/>
    <xf numFmtId="0" fontId="0" fillId="3" borderId="8" xfId="0" applyFill="1" applyBorder="1"/>
    <xf numFmtId="44" fontId="0" fillId="3" borderId="9" xfId="1" applyFont="1" applyFill="1" applyBorder="1"/>
    <xf numFmtId="164" fontId="0" fillId="3" borderId="0" xfId="0" applyNumberFormat="1" applyFill="1" applyBorder="1"/>
    <xf numFmtId="0" fontId="0" fillId="3" borderId="0" xfId="0" applyFill="1" applyBorder="1"/>
    <xf numFmtId="44" fontId="0" fillId="3" borderId="0" xfId="1" applyFont="1" applyFill="1" applyBorder="1"/>
    <xf numFmtId="44" fontId="0" fillId="3" borderId="0" xfId="1" applyFont="1" applyFill="1"/>
    <xf numFmtId="44" fontId="0" fillId="3" borderId="5" xfId="1" applyFont="1" applyFill="1" applyBorder="1"/>
    <xf numFmtId="44" fontId="0" fillId="3" borderId="1" xfId="1" applyFont="1" applyFill="1" applyBorder="1"/>
    <xf numFmtId="44" fontId="0" fillId="3" borderId="7" xfId="1" applyFont="1" applyFill="1" applyBorder="1"/>
    <xf numFmtId="44" fontId="0" fillId="3" borderId="8" xfId="1" applyFont="1" applyFill="1" applyBorder="1"/>
    <xf numFmtId="44" fontId="3" fillId="3" borderId="7" xfId="0" applyNumberFormat="1" applyFont="1" applyFill="1" applyBorder="1"/>
    <xf numFmtId="44" fontId="3" fillId="3" borderId="8" xfId="0" applyNumberFormat="1" applyFont="1" applyFill="1" applyBorder="1"/>
    <xf numFmtId="0" fontId="0" fillId="4" borderId="0" xfId="0" applyFill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164" fontId="0" fillId="4" borderId="5" xfId="0" applyNumberFormat="1" applyFill="1" applyBorder="1"/>
    <xf numFmtId="164" fontId="0" fillId="4" borderId="1" xfId="0" applyNumberFormat="1" applyFill="1" applyBorder="1"/>
    <xf numFmtId="44" fontId="0" fillId="4" borderId="6" xfId="1" applyFont="1" applyFill="1" applyBorder="1"/>
    <xf numFmtId="164" fontId="0" fillId="4" borderId="7" xfId="0" applyNumberFormat="1" applyFill="1" applyBorder="1"/>
    <xf numFmtId="0" fontId="0" fillId="4" borderId="8" xfId="0" applyFill="1" applyBorder="1"/>
    <xf numFmtId="44" fontId="0" fillId="4" borderId="9" xfId="1" applyFont="1" applyFill="1" applyBorder="1"/>
    <xf numFmtId="164" fontId="0" fillId="4" borderId="0" xfId="0" applyNumberFormat="1" applyFill="1" applyBorder="1"/>
    <xf numFmtId="0" fontId="0" fillId="4" borderId="0" xfId="0" applyFill="1" applyBorder="1"/>
    <xf numFmtId="44" fontId="0" fillId="4" borderId="0" xfId="1" applyFont="1" applyFill="1" applyBorder="1"/>
    <xf numFmtId="44" fontId="0" fillId="4" borderId="0" xfId="1" applyFont="1" applyFill="1"/>
    <xf numFmtId="44" fontId="0" fillId="4" borderId="5" xfId="1" applyFont="1" applyFill="1" applyBorder="1"/>
    <xf numFmtId="44" fontId="0" fillId="4" borderId="1" xfId="1" applyFont="1" applyFill="1" applyBorder="1"/>
    <xf numFmtId="44" fontId="0" fillId="4" borderId="7" xfId="1" applyFont="1" applyFill="1" applyBorder="1"/>
    <xf numFmtId="44" fontId="0" fillId="4" borderId="8" xfId="1" applyFont="1" applyFill="1" applyBorder="1"/>
    <xf numFmtId="44" fontId="3" fillId="4" borderId="7" xfId="0" applyNumberFormat="1" applyFont="1" applyFill="1" applyBorder="1"/>
    <xf numFmtId="44" fontId="3" fillId="4" borderId="8" xfId="0" applyNumberFormat="1" applyFont="1" applyFill="1" applyBorder="1"/>
    <xf numFmtId="44" fontId="0" fillId="4" borderId="6" xfId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44" fontId="2" fillId="4" borderId="9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0" fillId="6" borderId="0" xfId="0" applyFill="1"/>
    <xf numFmtId="164" fontId="0" fillId="6" borderId="0" xfId="0" applyNumberFormat="1" applyFill="1" applyBorder="1"/>
    <xf numFmtId="0" fontId="0" fillId="6" borderId="0" xfId="0" applyFill="1" applyBorder="1"/>
    <xf numFmtId="44" fontId="0" fillId="6" borderId="0" xfId="1" applyFont="1" applyFill="1" applyBorder="1"/>
    <xf numFmtId="44" fontId="0" fillId="6" borderId="0" xfId="1" applyFont="1" applyFill="1"/>
    <xf numFmtId="0" fontId="0" fillId="6" borderId="5" xfId="0" applyFill="1" applyBorder="1"/>
    <xf numFmtId="0" fontId="0" fillId="6" borderId="1" xfId="0" applyFill="1" applyBorder="1"/>
    <xf numFmtId="0" fontId="0" fillId="6" borderId="6" xfId="0" applyFill="1" applyBorder="1"/>
    <xf numFmtId="44" fontId="0" fillId="6" borderId="5" xfId="1" applyFont="1" applyFill="1" applyBorder="1"/>
    <xf numFmtId="44" fontId="0" fillId="6" borderId="1" xfId="1" applyFont="1" applyFill="1" applyBorder="1"/>
    <xf numFmtId="44" fontId="0" fillId="6" borderId="6" xfId="1" applyFont="1" applyFill="1" applyBorder="1"/>
    <xf numFmtId="44" fontId="0" fillId="6" borderId="7" xfId="1" applyFont="1" applyFill="1" applyBorder="1"/>
    <xf numFmtId="44" fontId="0" fillId="6" borderId="8" xfId="1" applyFont="1" applyFill="1" applyBorder="1"/>
    <xf numFmtId="44" fontId="0" fillId="6" borderId="9" xfId="1" applyFont="1" applyFill="1" applyBorder="1"/>
    <xf numFmtId="44" fontId="3" fillId="6" borderId="7" xfId="0" applyNumberFormat="1" applyFont="1" applyFill="1" applyBorder="1"/>
    <xf numFmtId="44" fontId="3" fillId="6" borderId="8" xfId="0" applyNumberFormat="1" applyFont="1" applyFill="1" applyBorder="1"/>
    <xf numFmtId="44" fontId="0" fillId="6" borderId="6" xfId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44" fontId="2" fillId="6" borderId="9" xfId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0" fillId="8" borderId="0" xfId="0" applyFill="1"/>
    <xf numFmtId="0" fontId="0" fillId="8" borderId="5" xfId="0" applyFill="1" applyBorder="1"/>
    <xf numFmtId="0" fontId="0" fillId="8" borderId="1" xfId="0" applyFill="1" applyBorder="1"/>
    <xf numFmtId="0" fontId="0" fillId="8" borderId="6" xfId="0" applyFill="1" applyBorder="1"/>
    <xf numFmtId="164" fontId="0" fillId="8" borderId="5" xfId="0" applyNumberFormat="1" applyFill="1" applyBorder="1"/>
    <xf numFmtId="164" fontId="0" fillId="8" borderId="1" xfId="0" applyNumberFormat="1" applyFill="1" applyBorder="1"/>
    <xf numFmtId="44" fontId="0" fillId="8" borderId="6" xfId="1" applyFont="1" applyFill="1" applyBorder="1"/>
    <xf numFmtId="164" fontId="0" fillId="8" borderId="7" xfId="0" applyNumberFormat="1" applyFill="1" applyBorder="1"/>
    <xf numFmtId="0" fontId="0" fillId="8" borderId="8" xfId="0" applyFill="1" applyBorder="1"/>
    <xf numFmtId="44" fontId="0" fillId="8" borderId="9" xfId="1" applyFont="1" applyFill="1" applyBorder="1"/>
    <xf numFmtId="164" fontId="0" fillId="8" borderId="0" xfId="0" applyNumberFormat="1" applyFill="1" applyBorder="1"/>
    <xf numFmtId="0" fontId="0" fillId="8" borderId="0" xfId="0" applyFill="1" applyBorder="1"/>
    <xf numFmtId="44" fontId="0" fillId="8" borderId="0" xfId="1" applyFont="1" applyFill="1" applyBorder="1"/>
    <xf numFmtId="44" fontId="0" fillId="8" borderId="0" xfId="1" applyFont="1" applyFill="1"/>
    <xf numFmtId="44" fontId="0" fillId="8" borderId="5" xfId="1" applyFont="1" applyFill="1" applyBorder="1"/>
    <xf numFmtId="44" fontId="0" fillId="8" borderId="1" xfId="1" applyFont="1" applyFill="1" applyBorder="1"/>
    <xf numFmtId="44" fontId="0" fillId="8" borderId="7" xfId="1" applyFont="1" applyFill="1" applyBorder="1"/>
    <xf numFmtId="44" fontId="0" fillId="8" borderId="8" xfId="1" applyFont="1" applyFill="1" applyBorder="1"/>
    <xf numFmtId="44" fontId="0" fillId="8" borderId="6" xfId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 applyProtection="1">
      <alignment horizontal="center" vertical="center"/>
      <protection locked="0"/>
    </xf>
    <xf numFmtId="164" fontId="4" fillId="3" borderId="20" xfId="0" applyNumberFormat="1" applyFont="1" applyFill="1" applyBorder="1" applyAlignment="1" applyProtection="1">
      <alignment horizontal="center" vertical="center"/>
      <protection locked="0"/>
    </xf>
    <xf numFmtId="16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 applyProtection="1">
      <alignment horizontal="center" vertical="center"/>
      <protection locked="0"/>
    </xf>
    <xf numFmtId="164" fontId="4" fillId="6" borderId="20" xfId="0" applyNumberFormat="1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44" fontId="2" fillId="8" borderId="23" xfId="1" applyFont="1" applyFill="1" applyBorder="1" applyAlignment="1">
      <alignment horizontal="center" vertical="center"/>
    </xf>
    <xf numFmtId="44" fontId="2" fillId="8" borderId="24" xfId="1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64" fontId="4" fillId="8" borderId="19" xfId="0" applyNumberFormat="1" applyFont="1" applyFill="1" applyBorder="1" applyAlignment="1" applyProtection="1">
      <alignment horizontal="center" vertical="center"/>
      <protection locked="0"/>
    </xf>
    <xf numFmtId="164" fontId="4" fillId="8" borderId="20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6" borderId="0" xfId="0" applyFon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7" fillId="8" borderId="0" xfId="0" applyFont="1" applyFill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DCB4C"/>
      <color rgb="FFF8D44F"/>
      <color rgb="FFFFD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53C0-2455-E146-93BB-5638E9EFCF56}">
  <dimension ref="B1:I48"/>
  <sheetViews>
    <sheetView tabSelected="1" zoomScale="118" workbookViewId="0">
      <selection activeCell="C12" sqref="C12"/>
    </sheetView>
  </sheetViews>
  <sheetFormatPr defaultColWidth="10.875" defaultRowHeight="15.75" x14ac:dyDescent="0.25"/>
  <cols>
    <col min="1" max="1" width="10.875" style="6"/>
    <col min="2" max="2" width="20.125" style="6" customWidth="1"/>
    <col min="3" max="3" width="26.375" style="6" customWidth="1"/>
    <col min="4" max="4" width="38.5" style="6" customWidth="1"/>
    <col min="5" max="5" width="16.875" style="6" customWidth="1"/>
    <col min="6" max="6" width="10.875" style="6"/>
    <col min="7" max="7" width="14.125" style="6" bestFit="1" customWidth="1"/>
    <col min="8" max="16384" width="10.875" style="6"/>
  </cols>
  <sheetData>
    <row r="1" spans="2:9" ht="16.5" thickBot="1" x14ac:dyDescent="0.3"/>
    <row r="2" spans="2:9" ht="21.75" thickBot="1" x14ac:dyDescent="0.4">
      <c r="B2" s="103" t="s">
        <v>18</v>
      </c>
      <c r="C2" s="104"/>
      <c r="D2" s="104"/>
      <c r="E2" s="105"/>
    </row>
    <row r="3" spans="2:9" ht="15.95" customHeight="1" x14ac:dyDescent="0.25">
      <c r="B3" s="108" t="s">
        <v>0</v>
      </c>
      <c r="C3" s="111">
        <v>0</v>
      </c>
      <c r="D3" s="106" t="s">
        <v>2</v>
      </c>
      <c r="E3" s="107"/>
    </row>
    <row r="4" spans="2:9" x14ac:dyDescent="0.25">
      <c r="B4" s="109"/>
      <c r="C4" s="112"/>
      <c r="D4" s="4" t="s">
        <v>10</v>
      </c>
      <c r="E4" s="1">
        <f>IF(C3=0,0,SUM(D18:D20))</f>
        <v>0</v>
      </c>
    </row>
    <row r="5" spans="2:9" x14ac:dyDescent="0.25">
      <c r="B5" s="109"/>
      <c r="C5" s="112"/>
      <c r="D5" s="4" t="s">
        <v>11</v>
      </c>
      <c r="E5" s="1">
        <f>IF(C3=0,0,IF(SUM(D25:D33)&lt;=300000,SUM(D25:D33),300000))</f>
        <v>0</v>
      </c>
    </row>
    <row r="6" spans="2:9" x14ac:dyDescent="0.25">
      <c r="B6" s="109"/>
      <c r="C6" s="112"/>
      <c r="D6" s="4" t="s">
        <v>16</v>
      </c>
      <c r="E6" s="1">
        <f>IF(C3=0,0,SUM(D38:D48))</f>
        <v>0</v>
      </c>
    </row>
    <row r="7" spans="2:9" x14ac:dyDescent="0.25">
      <c r="B7" s="110"/>
      <c r="C7" s="113"/>
      <c r="D7" s="4" t="s">
        <v>17</v>
      </c>
      <c r="E7" s="1">
        <f>IF(C8&gt;1,E6*1.5,0)</f>
        <v>0</v>
      </c>
    </row>
    <row r="8" spans="2:9" ht="38.25" thickBot="1" x14ac:dyDescent="0.3">
      <c r="B8" s="2" t="s">
        <v>1</v>
      </c>
      <c r="C8" s="95">
        <v>0</v>
      </c>
      <c r="D8" s="5" t="s">
        <v>3</v>
      </c>
      <c r="E8" s="3">
        <f>SUM(E4:E7)</f>
        <v>0</v>
      </c>
    </row>
    <row r="14" spans="2:9" ht="24.75" customHeight="1" x14ac:dyDescent="0.25">
      <c r="B14" s="157" t="s">
        <v>19</v>
      </c>
      <c r="C14" s="157"/>
      <c r="D14" s="157"/>
      <c r="E14" s="156"/>
      <c r="F14" s="156"/>
      <c r="G14" s="156"/>
      <c r="H14" s="156"/>
      <c r="I14" s="156"/>
    </row>
    <row r="16" spans="2:9" hidden="1" x14ac:dyDescent="0.25">
      <c r="B16" s="100" t="s">
        <v>7</v>
      </c>
      <c r="C16" s="101"/>
      <c r="D16" s="102"/>
    </row>
    <row r="17" spans="2:7" hidden="1" x14ac:dyDescent="0.25">
      <c r="B17" s="7" t="s">
        <v>4</v>
      </c>
      <c r="C17" s="8" t="s">
        <v>5</v>
      </c>
      <c r="D17" s="9" t="s">
        <v>6</v>
      </c>
      <c r="G17" s="10"/>
    </row>
    <row r="18" spans="2:7" hidden="1" x14ac:dyDescent="0.25">
      <c r="B18" s="11">
        <v>0</v>
      </c>
      <c r="C18" s="12">
        <v>1000000</v>
      </c>
      <c r="D18" s="13">
        <f>IF(C3&lt;=C18,1500,0)</f>
        <v>1500</v>
      </c>
    </row>
    <row r="19" spans="2:7" hidden="1" x14ac:dyDescent="0.25">
      <c r="B19" s="11">
        <v>1000000.01</v>
      </c>
      <c r="C19" s="12">
        <v>5000000</v>
      </c>
      <c r="D19" s="13">
        <f>IF(AND($C$3&gt;=B19,$C$3&lt;=C19),3000,0)</f>
        <v>0</v>
      </c>
    </row>
    <row r="20" spans="2:7" ht="16.5" hidden="1" thickBot="1" x14ac:dyDescent="0.3">
      <c r="B20" s="14">
        <v>5000000.01</v>
      </c>
      <c r="C20" s="15"/>
      <c r="D20" s="16">
        <f>IF(C3&gt;=B20,5000,0)</f>
        <v>0</v>
      </c>
    </row>
    <row r="21" spans="2:7" hidden="1" x14ac:dyDescent="0.25">
      <c r="B21" s="17"/>
      <c r="C21" s="18"/>
      <c r="D21" s="19"/>
    </row>
    <row r="22" spans="2:7" ht="16.5" hidden="1" thickBot="1" x14ac:dyDescent="0.3">
      <c r="D22" s="20"/>
    </row>
    <row r="23" spans="2:7" hidden="1" x14ac:dyDescent="0.25">
      <c r="B23" s="100" t="s">
        <v>8</v>
      </c>
      <c r="C23" s="101"/>
      <c r="D23" s="102"/>
    </row>
    <row r="24" spans="2:7" hidden="1" x14ac:dyDescent="0.25">
      <c r="B24" s="7" t="s">
        <v>4</v>
      </c>
      <c r="C24" s="8" t="s">
        <v>5</v>
      </c>
      <c r="D24" s="9" t="s">
        <v>6</v>
      </c>
    </row>
    <row r="25" spans="2:7" hidden="1" x14ac:dyDescent="0.25">
      <c r="B25" s="21">
        <v>0</v>
      </c>
      <c r="C25" s="22">
        <v>50000</v>
      </c>
      <c r="D25" s="13">
        <f>IF($C$3&lt;=C25,2500,0)</f>
        <v>2500</v>
      </c>
    </row>
    <row r="26" spans="2:7" hidden="1" x14ac:dyDescent="0.25">
      <c r="B26" s="21">
        <v>50000.01</v>
      </c>
      <c r="C26" s="22">
        <v>500000</v>
      </c>
      <c r="D26" s="13">
        <f>IF(AND($C$3&gt;=B26,$C$3&lt;=C26),2500+(0.02*($C$3-C25)),0)</f>
        <v>0</v>
      </c>
    </row>
    <row r="27" spans="2:7" hidden="1" x14ac:dyDescent="0.25">
      <c r="B27" s="21">
        <v>500000.01</v>
      </c>
      <c r="C27" s="22">
        <v>1000000</v>
      </c>
      <c r="D27" s="13">
        <f>IF(AND($C$3&gt;=B27,$C$3&lt;=C27),11500+(0.015*($C$3-C26)),0)</f>
        <v>0</v>
      </c>
    </row>
    <row r="28" spans="2:7" hidden="1" x14ac:dyDescent="0.25">
      <c r="B28" s="21">
        <v>1000000.01</v>
      </c>
      <c r="C28" s="22">
        <v>5000000</v>
      </c>
      <c r="D28" s="13">
        <f>IF(AND($C$3&gt;=B28,$C$3&lt;=C28),19000+(0.01*($C$3-C27)),0)</f>
        <v>0</v>
      </c>
    </row>
    <row r="29" spans="2:7" hidden="1" x14ac:dyDescent="0.25">
      <c r="B29" s="21">
        <v>5000000.01</v>
      </c>
      <c r="C29" s="22">
        <v>10000000</v>
      </c>
      <c r="D29" s="13">
        <f>IF(AND($C$3&gt;=B29,$C$3&lt;=C29),59000+(0.005*($C$3-C28)),0)</f>
        <v>0</v>
      </c>
    </row>
    <row r="30" spans="2:7" hidden="1" x14ac:dyDescent="0.25">
      <c r="B30" s="21">
        <v>10000000.01</v>
      </c>
      <c r="C30" s="22">
        <v>20000000</v>
      </c>
      <c r="D30" s="13">
        <f>IF(AND($C$3&gt;=B30,$C$3&lt;=C30),84000+(0.002*($C$3-C29)),0)</f>
        <v>0</v>
      </c>
    </row>
    <row r="31" spans="2:7" hidden="1" x14ac:dyDescent="0.25">
      <c r="B31" s="21">
        <v>20000000.010000002</v>
      </c>
      <c r="C31" s="22">
        <v>50000000</v>
      </c>
      <c r="D31" s="13">
        <f>IF(AND($C$3&gt;=B31,$C$3&lt;=C31),104000+(0.001*($C$3-C30)),0)</f>
        <v>0</v>
      </c>
    </row>
    <row r="32" spans="2:7" hidden="1" x14ac:dyDescent="0.25">
      <c r="B32" s="21">
        <v>50000000.009999998</v>
      </c>
      <c r="C32" s="22">
        <v>100000000</v>
      </c>
      <c r="D32" s="13">
        <f>IF(AND($C$3&gt;=B32,$C$3&lt;=C32),134000+(0.0005*($C$3-C31)),0)</f>
        <v>0</v>
      </c>
    </row>
    <row r="33" spans="2:4" ht="16.5" hidden="1" thickBot="1" x14ac:dyDescent="0.3">
      <c r="B33" s="23">
        <v>100000000.01000001</v>
      </c>
      <c r="C33" s="24"/>
      <c r="D33" s="16">
        <f>IF($C$3&gt;=B33,159000+(0.00025*($C$3-C32)),0)</f>
        <v>0</v>
      </c>
    </row>
    <row r="34" spans="2:4" hidden="1" x14ac:dyDescent="0.25">
      <c r="B34" s="19"/>
      <c r="C34" s="19"/>
      <c r="D34" s="19"/>
    </row>
    <row r="35" spans="2:4" ht="16.5" hidden="1" thickBot="1" x14ac:dyDescent="0.3">
      <c r="B35" s="20"/>
      <c r="C35" s="20"/>
      <c r="D35" s="20"/>
    </row>
    <row r="36" spans="2:4" hidden="1" x14ac:dyDescent="0.25">
      <c r="B36" s="100" t="s">
        <v>9</v>
      </c>
      <c r="C36" s="101"/>
      <c r="D36" s="102"/>
    </row>
    <row r="37" spans="2:4" hidden="1" x14ac:dyDescent="0.25">
      <c r="B37" s="7" t="s">
        <v>4</v>
      </c>
      <c r="C37" s="8" t="s">
        <v>5</v>
      </c>
      <c r="D37" s="9" t="s">
        <v>6</v>
      </c>
    </row>
    <row r="38" spans="2:4" hidden="1" x14ac:dyDescent="0.25">
      <c r="B38" s="21">
        <v>0</v>
      </c>
      <c r="C38" s="22">
        <v>50000</v>
      </c>
      <c r="D38" s="13">
        <f>IF($C$3&lt;=C38,3000,0)</f>
        <v>3000</v>
      </c>
    </row>
    <row r="39" spans="2:4" hidden="1" x14ac:dyDescent="0.25">
      <c r="B39" s="21">
        <v>50000.01</v>
      </c>
      <c r="C39" s="22">
        <v>200000</v>
      </c>
      <c r="D39" s="13">
        <f>IF(AND($C$3&gt;=B39,$C$3&lt;=C39),3000+(0.04*($C$3-C38)),0)</f>
        <v>0</v>
      </c>
    </row>
    <row r="40" spans="2:4" hidden="1" x14ac:dyDescent="0.25">
      <c r="B40" s="21">
        <v>200000.01</v>
      </c>
      <c r="C40" s="22">
        <v>500000</v>
      </c>
      <c r="D40" s="13">
        <f>IF(AND($C$3&gt;=B40,$C$3&lt;=C40),9000+(0.035*($C$3-C39)),0)</f>
        <v>0</v>
      </c>
    </row>
    <row r="41" spans="2:4" hidden="1" x14ac:dyDescent="0.25">
      <c r="B41" s="21">
        <v>500000.01</v>
      </c>
      <c r="C41" s="22">
        <v>1000000</v>
      </c>
      <c r="D41" s="13">
        <f>IF(AND($C$3&gt;=B41,$C$3&lt;=C41),19500+(0.025*($C$3-C40)),0)</f>
        <v>0</v>
      </c>
    </row>
    <row r="42" spans="2:4" hidden="1" x14ac:dyDescent="0.25">
      <c r="B42" s="21">
        <v>1000000.01</v>
      </c>
      <c r="C42" s="22">
        <v>5000000</v>
      </c>
      <c r="D42" s="13">
        <f>IF(AND($C$3&gt;=B42,$C$3&lt;=C42),32000+(0.01*($C$3-C41)),0)</f>
        <v>0</v>
      </c>
    </row>
    <row r="43" spans="2:4" hidden="1" x14ac:dyDescent="0.25">
      <c r="B43" s="21">
        <v>5000000.01</v>
      </c>
      <c r="C43" s="22">
        <v>10000000</v>
      </c>
      <c r="D43" s="13">
        <f>IF(AND($C$3&gt;=B43,$C$3&lt;=C43),72000+(0.006*($C$3-C42)),0)</f>
        <v>0</v>
      </c>
    </row>
    <row r="44" spans="2:4" hidden="1" x14ac:dyDescent="0.25">
      <c r="B44" s="21">
        <v>10000000.01</v>
      </c>
      <c r="C44" s="22">
        <v>20000000</v>
      </c>
      <c r="D44" s="13">
        <f>IF(AND($C$3&gt;=B44,$C$3&lt;=C44),102000+(0.003*($C$3-C43)),0)</f>
        <v>0</v>
      </c>
    </row>
    <row r="45" spans="2:4" hidden="1" x14ac:dyDescent="0.25">
      <c r="B45" s="21">
        <v>20000000.010000002</v>
      </c>
      <c r="C45" s="22">
        <v>50000000</v>
      </c>
      <c r="D45" s="13">
        <f>IF(AND($C$3&gt;=B45,$C$3&lt;=C45),132000+(0.002*($C$3-C44)),0)</f>
        <v>0</v>
      </c>
    </row>
    <row r="46" spans="2:4" hidden="1" x14ac:dyDescent="0.25">
      <c r="B46" s="21">
        <v>50000000.009999998</v>
      </c>
      <c r="C46" s="22">
        <v>100000000</v>
      </c>
      <c r="D46" s="13">
        <f>IF(AND($C$3&gt;=B46,$C$3&lt;=C46),192000+(0.001*($C$3-C45)),0)</f>
        <v>0</v>
      </c>
    </row>
    <row r="47" spans="2:4" hidden="1" x14ac:dyDescent="0.25">
      <c r="B47" s="21">
        <v>100000000.01000001</v>
      </c>
      <c r="C47" s="22">
        <v>500000000</v>
      </c>
      <c r="D47" s="13">
        <f>IF(AND($C$3&gt;=B47,$C$3&lt;=C47),242000+(0.0005*($C$3-C46)),0)</f>
        <v>0</v>
      </c>
    </row>
    <row r="48" spans="2:4" ht="16.5" hidden="1" thickBot="1" x14ac:dyDescent="0.3">
      <c r="B48" s="25">
        <v>500000000.00999999</v>
      </c>
      <c r="C48" s="26"/>
      <c r="D48" s="16">
        <f>IF($C$3&gt;=B48,442000+(0.00025*($C$3-C47)),0)</f>
        <v>0</v>
      </c>
    </row>
  </sheetData>
  <sheetProtection algorithmName="SHA-512" hashValue="vEtFePaQjMBJjNXvkWfvYtek7u9KlF1P97oqJOGNkg7D7eLGRzIuzu5wvxW2n9GSIHEfHLSuNisaeRCyhCMQPQ==" saltValue="CZMNs2ray1veqCEtaWj6Lg==" spinCount="100000" sheet="1" objects="1" scenarios="1"/>
  <mergeCells count="8">
    <mergeCell ref="B23:D23"/>
    <mergeCell ref="B36:D36"/>
    <mergeCell ref="B2:E2"/>
    <mergeCell ref="D3:E3"/>
    <mergeCell ref="B3:B7"/>
    <mergeCell ref="C3:C7"/>
    <mergeCell ref="B16:D16"/>
    <mergeCell ref="B14:D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DAEF-45C0-0F4D-944A-F21CC1F64EC8}">
  <dimension ref="B1:E48"/>
  <sheetViews>
    <sheetView zoomScale="118" workbookViewId="0">
      <selection activeCell="C51" sqref="C51"/>
    </sheetView>
  </sheetViews>
  <sheetFormatPr defaultColWidth="10.875" defaultRowHeight="15.75" x14ac:dyDescent="0.25"/>
  <cols>
    <col min="1" max="1" width="10.875" style="27"/>
    <col min="2" max="2" width="20.125" style="27" customWidth="1"/>
    <col min="3" max="3" width="26.375" style="27" customWidth="1"/>
    <col min="4" max="4" width="38.5" style="27" customWidth="1"/>
    <col min="5" max="5" width="16.875" style="27" customWidth="1"/>
    <col min="6" max="16384" width="10.875" style="27"/>
  </cols>
  <sheetData>
    <row r="1" spans="2:5" ht="16.5" thickBot="1" x14ac:dyDescent="0.3"/>
    <row r="2" spans="2:5" ht="21.75" thickBot="1" x14ac:dyDescent="0.4">
      <c r="B2" s="117" t="s">
        <v>22</v>
      </c>
      <c r="C2" s="118"/>
      <c r="D2" s="118"/>
      <c r="E2" s="119"/>
    </row>
    <row r="3" spans="2:5" ht="15.95" customHeight="1" x14ac:dyDescent="0.25">
      <c r="B3" s="120" t="s">
        <v>0</v>
      </c>
      <c r="C3" s="123">
        <v>0</v>
      </c>
      <c r="D3" s="126" t="s">
        <v>2</v>
      </c>
      <c r="E3" s="127"/>
    </row>
    <row r="4" spans="2:5" x14ac:dyDescent="0.25">
      <c r="B4" s="121"/>
      <c r="C4" s="124"/>
      <c r="D4" s="50" t="s">
        <v>10</v>
      </c>
      <c r="E4" s="47">
        <f>IF(C3=0,0,SUM(D18:D20))</f>
        <v>0</v>
      </c>
    </row>
    <row r="5" spans="2:5" x14ac:dyDescent="0.25">
      <c r="B5" s="121"/>
      <c r="C5" s="124"/>
      <c r="D5" s="50" t="s">
        <v>11</v>
      </c>
      <c r="E5" s="47">
        <f>IF(C3=0,0,IF(0.7*SUM(D25:D33)&lt;=300000,0.7*SUM(D25:D33),300000))</f>
        <v>0</v>
      </c>
    </row>
    <row r="6" spans="2:5" x14ac:dyDescent="0.25">
      <c r="B6" s="121"/>
      <c r="C6" s="124"/>
      <c r="D6" s="50" t="s">
        <v>16</v>
      </c>
      <c r="E6" s="47">
        <f>IF(C3=0,0,SUM(D38:D48))</f>
        <v>0</v>
      </c>
    </row>
    <row r="7" spans="2:5" x14ac:dyDescent="0.25">
      <c r="B7" s="122"/>
      <c r="C7" s="125"/>
      <c r="D7" s="50" t="s">
        <v>17</v>
      </c>
      <c r="E7" s="47">
        <f>IF(C8&gt;1,E6*1.5,0)</f>
        <v>0</v>
      </c>
    </row>
    <row r="8" spans="2:5" ht="38.25" thickBot="1" x14ac:dyDescent="0.3">
      <c r="B8" s="48" t="s">
        <v>1</v>
      </c>
      <c r="C8" s="96">
        <v>0</v>
      </c>
      <c r="D8" s="51" t="s">
        <v>3</v>
      </c>
      <c r="E8" s="49">
        <f>SUM(E4:E7)</f>
        <v>0</v>
      </c>
    </row>
    <row r="13" spans="2:5" ht="12.75" customHeight="1" x14ac:dyDescent="0.25"/>
    <row r="14" spans="2:5" ht="26.25" customHeight="1" x14ac:dyDescent="0.25">
      <c r="B14" s="159" t="s">
        <v>19</v>
      </c>
      <c r="C14" s="158"/>
      <c r="D14" s="158"/>
    </row>
    <row r="16" spans="2:5" hidden="1" x14ac:dyDescent="0.25">
      <c r="B16" s="114" t="s">
        <v>7</v>
      </c>
      <c r="C16" s="115"/>
      <c r="D16" s="116"/>
    </row>
    <row r="17" spans="2:4" hidden="1" x14ac:dyDescent="0.25">
      <c r="B17" s="28" t="s">
        <v>4</v>
      </c>
      <c r="C17" s="29" t="s">
        <v>5</v>
      </c>
      <c r="D17" s="30" t="s">
        <v>6</v>
      </c>
    </row>
    <row r="18" spans="2:4" hidden="1" x14ac:dyDescent="0.25">
      <c r="B18" s="31">
        <v>0</v>
      </c>
      <c r="C18" s="32">
        <v>1000000</v>
      </c>
      <c r="D18" s="33">
        <f>IF(C3&lt;=C18,1500,0)</f>
        <v>1500</v>
      </c>
    </row>
    <row r="19" spans="2:4" hidden="1" x14ac:dyDescent="0.25">
      <c r="B19" s="31">
        <v>1000000.01</v>
      </c>
      <c r="C19" s="32">
        <v>5000000</v>
      </c>
      <c r="D19" s="33">
        <f>IF(AND($C$3&gt;=B19,$C$3&lt;=C19),3000,0)</f>
        <v>0</v>
      </c>
    </row>
    <row r="20" spans="2:4" ht="16.5" hidden="1" thickBot="1" x14ac:dyDescent="0.3">
      <c r="B20" s="34">
        <v>5000000.01</v>
      </c>
      <c r="C20" s="35"/>
      <c r="D20" s="36">
        <f>IF(C3&gt;=B20,5000,0)</f>
        <v>0</v>
      </c>
    </row>
    <row r="21" spans="2:4" hidden="1" x14ac:dyDescent="0.25">
      <c r="B21" s="37"/>
      <c r="C21" s="38"/>
      <c r="D21" s="39"/>
    </row>
    <row r="22" spans="2:4" ht="16.5" hidden="1" thickBot="1" x14ac:dyDescent="0.3">
      <c r="D22" s="40"/>
    </row>
    <row r="23" spans="2:4" hidden="1" x14ac:dyDescent="0.25">
      <c r="B23" s="114" t="s">
        <v>8</v>
      </c>
      <c r="C23" s="115"/>
      <c r="D23" s="116"/>
    </row>
    <row r="24" spans="2:4" hidden="1" x14ac:dyDescent="0.25">
      <c r="B24" s="28" t="s">
        <v>4</v>
      </c>
      <c r="C24" s="29" t="s">
        <v>5</v>
      </c>
      <c r="D24" s="30" t="s">
        <v>6</v>
      </c>
    </row>
    <row r="25" spans="2:4" hidden="1" x14ac:dyDescent="0.25">
      <c r="B25" s="41">
        <v>0</v>
      </c>
      <c r="C25" s="42">
        <v>50000</v>
      </c>
      <c r="D25" s="33">
        <f>IF($C$3&lt;=C25,2500,0)</f>
        <v>2500</v>
      </c>
    </row>
    <row r="26" spans="2:4" hidden="1" x14ac:dyDescent="0.25">
      <c r="B26" s="41">
        <v>50000.01</v>
      </c>
      <c r="C26" s="42">
        <v>500000</v>
      </c>
      <c r="D26" s="33">
        <f>IF(AND($C$3&gt;=B26,$C$3&lt;=C26),2500+(0.02*($C$3-C25)),0)</f>
        <v>0</v>
      </c>
    </row>
    <row r="27" spans="2:4" hidden="1" x14ac:dyDescent="0.25">
      <c r="B27" s="41">
        <v>500000.01</v>
      </c>
      <c r="C27" s="42">
        <v>1000000</v>
      </c>
      <c r="D27" s="33">
        <f>IF(AND($C$3&gt;=B27,$C$3&lt;=C27),11500+(0.015*($C$3-C26)),0)</f>
        <v>0</v>
      </c>
    </row>
    <row r="28" spans="2:4" hidden="1" x14ac:dyDescent="0.25">
      <c r="B28" s="41">
        <v>1000000.01</v>
      </c>
      <c r="C28" s="42">
        <v>5000000</v>
      </c>
      <c r="D28" s="33">
        <f>IF(AND($C$3&gt;=B28,$C$3&lt;=C28),19000+(0.01*($C$3-C27)),0)</f>
        <v>0</v>
      </c>
    </row>
    <row r="29" spans="2:4" hidden="1" x14ac:dyDescent="0.25">
      <c r="B29" s="41">
        <v>5000000.01</v>
      </c>
      <c r="C29" s="42">
        <v>10000000</v>
      </c>
      <c r="D29" s="33">
        <f>IF(AND($C$3&gt;=B29,$C$3&lt;=C29),59000+(0.005*($C$3-C28)),0)</f>
        <v>0</v>
      </c>
    </row>
    <row r="30" spans="2:4" hidden="1" x14ac:dyDescent="0.25">
      <c r="B30" s="41">
        <v>10000000.01</v>
      </c>
      <c r="C30" s="42">
        <v>20000000</v>
      </c>
      <c r="D30" s="33">
        <f>IF(AND($C$3&gt;=B30,$C$3&lt;=C30),84000+(0.002*($C$3-C29)),0)</f>
        <v>0</v>
      </c>
    </row>
    <row r="31" spans="2:4" hidden="1" x14ac:dyDescent="0.25">
      <c r="B31" s="41">
        <v>20000000.010000002</v>
      </c>
      <c r="C31" s="42">
        <v>50000000</v>
      </c>
      <c r="D31" s="33">
        <f>IF(AND($C$3&gt;=B31,$C$3&lt;=C31),104000+(0.001*($C$3-C30)),0)</f>
        <v>0</v>
      </c>
    </row>
    <row r="32" spans="2:4" hidden="1" x14ac:dyDescent="0.25">
      <c r="B32" s="41">
        <v>50000000.009999998</v>
      </c>
      <c r="C32" s="42">
        <v>100000000</v>
      </c>
      <c r="D32" s="33">
        <f>IF(AND($C$3&gt;=B32,$C$3&lt;=C32),134000+(0.0005*($C$3-C31)),0)</f>
        <v>0</v>
      </c>
    </row>
    <row r="33" spans="2:4" ht="16.5" hidden="1" thickBot="1" x14ac:dyDescent="0.3">
      <c r="B33" s="43">
        <v>100000000.01000001</v>
      </c>
      <c r="C33" s="44"/>
      <c r="D33" s="36">
        <f>IF($C$3&gt;=B33,159000+(0.00025*($C$3-C32)),0)</f>
        <v>0</v>
      </c>
    </row>
    <row r="34" spans="2:4" hidden="1" x14ac:dyDescent="0.25">
      <c r="B34" s="39"/>
      <c r="C34" s="39"/>
      <c r="D34" s="39"/>
    </row>
    <row r="35" spans="2:4" ht="16.5" hidden="1" thickBot="1" x14ac:dyDescent="0.3">
      <c r="B35" s="40"/>
      <c r="C35" s="40"/>
      <c r="D35" s="40"/>
    </row>
    <row r="36" spans="2:4" hidden="1" x14ac:dyDescent="0.25">
      <c r="B36" s="114" t="s">
        <v>9</v>
      </c>
      <c r="C36" s="115"/>
      <c r="D36" s="116"/>
    </row>
    <row r="37" spans="2:4" hidden="1" x14ac:dyDescent="0.25">
      <c r="B37" s="28" t="s">
        <v>4</v>
      </c>
      <c r="C37" s="29" t="s">
        <v>5</v>
      </c>
      <c r="D37" s="30" t="s">
        <v>6</v>
      </c>
    </row>
    <row r="38" spans="2:4" hidden="1" x14ac:dyDescent="0.25">
      <c r="B38" s="41">
        <v>0</v>
      </c>
      <c r="C38" s="42">
        <v>50000</v>
      </c>
      <c r="D38" s="33">
        <f>IF($C$3&lt;=C38,3000,0)</f>
        <v>3000</v>
      </c>
    </row>
    <row r="39" spans="2:4" hidden="1" x14ac:dyDescent="0.25">
      <c r="B39" s="41">
        <v>50000.01</v>
      </c>
      <c r="C39" s="42">
        <v>200000</v>
      </c>
      <c r="D39" s="33">
        <f>IF(AND($C$3&gt;=B39,$C$3&lt;=C39),3000+(0.04*($C$3-C38)),0)</f>
        <v>0</v>
      </c>
    </row>
    <row r="40" spans="2:4" hidden="1" x14ac:dyDescent="0.25">
      <c r="B40" s="41">
        <v>200000.01</v>
      </c>
      <c r="C40" s="42">
        <v>500000</v>
      </c>
      <c r="D40" s="33">
        <f>IF(AND($C$3&gt;=B40,$C$3&lt;=C40),9000+(0.035*($C$3-C39)),0)</f>
        <v>0</v>
      </c>
    </row>
    <row r="41" spans="2:4" hidden="1" x14ac:dyDescent="0.25">
      <c r="B41" s="41">
        <v>500000.01</v>
      </c>
      <c r="C41" s="42">
        <v>1000000</v>
      </c>
      <c r="D41" s="33">
        <f>IF(AND($C$3&gt;=B41,$C$3&lt;=C41),19500+(0.025*($C$3-C40)),0)</f>
        <v>0</v>
      </c>
    </row>
    <row r="42" spans="2:4" hidden="1" x14ac:dyDescent="0.25">
      <c r="B42" s="41">
        <v>1000000.01</v>
      </c>
      <c r="C42" s="42">
        <v>5000000</v>
      </c>
      <c r="D42" s="33">
        <f>IF(AND($C$3&gt;=B42,$C$3&lt;=C42),32000+(0.01*($C$3-C41)),0)</f>
        <v>0</v>
      </c>
    </row>
    <row r="43" spans="2:4" hidden="1" x14ac:dyDescent="0.25">
      <c r="B43" s="41">
        <v>5000000.01</v>
      </c>
      <c r="C43" s="42">
        <v>10000000</v>
      </c>
      <c r="D43" s="33">
        <f>IF(AND($C$3&gt;=B43,$C$3&lt;=C43),72000+(0.006*($C$3-C42)),0)</f>
        <v>0</v>
      </c>
    </row>
    <row r="44" spans="2:4" hidden="1" x14ac:dyDescent="0.25">
      <c r="B44" s="41">
        <v>10000000.01</v>
      </c>
      <c r="C44" s="42">
        <v>20000000</v>
      </c>
      <c r="D44" s="33">
        <f>IF(AND($C$3&gt;=B44,$C$3&lt;=C44),102000+(0.003*($C$3-C43)),0)</f>
        <v>0</v>
      </c>
    </row>
    <row r="45" spans="2:4" hidden="1" x14ac:dyDescent="0.25">
      <c r="B45" s="41">
        <v>20000000.010000002</v>
      </c>
      <c r="C45" s="42">
        <v>50000000</v>
      </c>
      <c r="D45" s="33">
        <f>IF(AND($C$3&gt;=B45,$C$3&lt;=C45),132000+(0.002*($C$3-C44)),0)</f>
        <v>0</v>
      </c>
    </row>
    <row r="46" spans="2:4" hidden="1" x14ac:dyDescent="0.25">
      <c r="B46" s="41">
        <v>50000000.009999998</v>
      </c>
      <c r="C46" s="42">
        <v>100000000</v>
      </c>
      <c r="D46" s="33">
        <f>IF(AND($C$3&gt;=B46,$C$3&lt;=C46),192000+(0.001*($C$3-C45)),0)</f>
        <v>0</v>
      </c>
    </row>
    <row r="47" spans="2:4" hidden="1" x14ac:dyDescent="0.25">
      <c r="B47" s="41">
        <v>100000000.01000001</v>
      </c>
      <c r="C47" s="42">
        <v>500000000</v>
      </c>
      <c r="D47" s="33">
        <f>IF(AND($C$3&gt;=B47,$C$3&lt;=C47),242000+(0.0005*($C$3-C46)),0)</f>
        <v>0</v>
      </c>
    </row>
    <row r="48" spans="2:4" ht="16.5" hidden="1" thickBot="1" x14ac:dyDescent="0.3">
      <c r="B48" s="45">
        <v>500000000.00999999</v>
      </c>
      <c r="C48" s="46"/>
      <c r="D48" s="36">
        <f>IF($C$3&gt;=B48,442000+(0.00025*($C$3-C47)),0)</f>
        <v>0</v>
      </c>
    </row>
  </sheetData>
  <sheetProtection algorithmName="SHA-512" hashValue="59D34x0KWcGL8bhHWPBZbrwvS9YacB7JKqzJVY9O0/CKlPDFFNlbKpvU7Penf96og8CASibU/lZbJy936GtjJQ==" saltValue="hUXlGjG331AIGva1epYpCg==" spinCount="100000" sheet="1" objects="1" scenarios="1"/>
  <mergeCells count="8">
    <mergeCell ref="B36:D36"/>
    <mergeCell ref="B2:E2"/>
    <mergeCell ref="B3:B7"/>
    <mergeCell ref="C3:C7"/>
    <mergeCell ref="D3:E3"/>
    <mergeCell ref="B16:D16"/>
    <mergeCell ref="B23:D23"/>
    <mergeCell ref="B14:D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EF9AF-13F9-1044-B15F-671A46EDCA8C}">
  <dimension ref="B1:E42"/>
  <sheetViews>
    <sheetView zoomScale="118" workbookViewId="0">
      <selection activeCell="B43" sqref="B43"/>
    </sheetView>
  </sheetViews>
  <sheetFormatPr defaultColWidth="10.875" defaultRowHeight="15.75" x14ac:dyDescent="0.25"/>
  <cols>
    <col min="1" max="1" width="10.875" style="52"/>
    <col min="2" max="2" width="20.125" style="52" customWidth="1"/>
    <col min="3" max="3" width="26.375" style="52" customWidth="1"/>
    <col min="4" max="4" width="21.875" style="52" bestFit="1" customWidth="1"/>
    <col min="5" max="5" width="16.875" style="52" customWidth="1"/>
    <col min="6" max="16384" width="10.875" style="52"/>
  </cols>
  <sheetData>
    <row r="1" spans="2:5" ht="16.5" thickBot="1" x14ac:dyDescent="0.3"/>
    <row r="2" spans="2:5" ht="21.75" thickBot="1" x14ac:dyDescent="0.4">
      <c r="B2" s="131" t="s">
        <v>20</v>
      </c>
      <c r="C2" s="132"/>
      <c r="D2" s="132"/>
      <c r="E2" s="133"/>
    </row>
    <row r="3" spans="2:5" ht="15.95" customHeight="1" x14ac:dyDescent="0.25">
      <c r="B3" s="134" t="s">
        <v>0</v>
      </c>
      <c r="C3" s="136">
        <v>0</v>
      </c>
      <c r="D3" s="138" t="s">
        <v>2</v>
      </c>
      <c r="E3" s="139"/>
    </row>
    <row r="4" spans="2:5" x14ac:dyDescent="0.25">
      <c r="B4" s="135"/>
      <c r="C4" s="137"/>
      <c r="D4" s="71" t="s">
        <v>10</v>
      </c>
      <c r="E4" s="68">
        <f>IF(C3=0,0,5000)</f>
        <v>0</v>
      </c>
    </row>
    <row r="5" spans="2:5" x14ac:dyDescent="0.25">
      <c r="B5" s="135"/>
      <c r="C5" s="137"/>
      <c r="D5" s="71" t="s">
        <v>11</v>
      </c>
      <c r="E5" s="68">
        <f>IF(C3=0,0,IF(1.3*SUM(D19:D27)&lt;=390000,1.3*SUM(D19:D27),390000))</f>
        <v>0</v>
      </c>
    </row>
    <row r="6" spans="2:5" ht="35.1" customHeight="1" x14ac:dyDescent="0.25">
      <c r="B6" s="135"/>
      <c r="C6" s="137"/>
      <c r="D6" s="71" t="s">
        <v>15</v>
      </c>
      <c r="E6" s="68">
        <f>IF(C3=0,0,SUM(D32:D42)*1.3)</f>
        <v>0</v>
      </c>
    </row>
    <row r="7" spans="2:5" ht="38.25" thickBot="1" x14ac:dyDescent="0.3">
      <c r="B7" s="69" t="s">
        <v>1</v>
      </c>
      <c r="C7" s="97">
        <v>0</v>
      </c>
      <c r="D7" s="72" t="s">
        <v>3</v>
      </c>
      <c r="E7" s="70">
        <f>SUM(E4:E6)</f>
        <v>0</v>
      </c>
    </row>
    <row r="14" spans="2:5" ht="26.25" customHeight="1" x14ac:dyDescent="0.25">
      <c r="B14" s="160" t="s">
        <v>21</v>
      </c>
      <c r="C14" s="160"/>
      <c r="D14" s="160"/>
      <c r="E14" s="160"/>
    </row>
    <row r="15" spans="2:5" x14ac:dyDescent="0.25">
      <c r="B15" s="53"/>
      <c r="C15" s="54"/>
      <c r="D15" s="55"/>
    </row>
    <row r="16" spans="2:5" x14ac:dyDescent="0.25">
      <c r="D16" s="56"/>
    </row>
    <row r="17" spans="2:4" hidden="1" x14ac:dyDescent="0.25">
      <c r="B17" s="128" t="s">
        <v>8</v>
      </c>
      <c r="C17" s="129"/>
      <c r="D17" s="130"/>
    </row>
    <row r="18" spans="2:4" hidden="1" x14ac:dyDescent="0.25">
      <c r="B18" s="57" t="s">
        <v>4</v>
      </c>
      <c r="C18" s="58" t="s">
        <v>5</v>
      </c>
      <c r="D18" s="59" t="s">
        <v>6</v>
      </c>
    </row>
    <row r="19" spans="2:4" hidden="1" x14ac:dyDescent="0.25">
      <c r="B19" s="60">
        <v>0</v>
      </c>
      <c r="C19" s="61">
        <v>50000</v>
      </c>
      <c r="D19" s="62">
        <f>IF($C$3&lt;=C19,2500,0)</f>
        <v>2500</v>
      </c>
    </row>
    <row r="20" spans="2:4" hidden="1" x14ac:dyDescent="0.25">
      <c r="B20" s="60">
        <v>50000.01</v>
      </c>
      <c r="C20" s="61">
        <v>500000</v>
      </c>
      <c r="D20" s="62">
        <f>IF(AND($C$3&gt;=B20,$C$3&lt;=C20),2500+(0.02*($C$3-C19)),0)</f>
        <v>0</v>
      </c>
    </row>
    <row r="21" spans="2:4" hidden="1" x14ac:dyDescent="0.25">
      <c r="B21" s="60">
        <v>500000.01</v>
      </c>
      <c r="C21" s="61">
        <v>1000000</v>
      </c>
      <c r="D21" s="62">
        <f>IF(AND($C$3&gt;=B21,$C$3&lt;=C21),11500+(0.015*($C$3-C20)),0)</f>
        <v>0</v>
      </c>
    </row>
    <row r="22" spans="2:4" hidden="1" x14ac:dyDescent="0.25">
      <c r="B22" s="60">
        <v>1000000.01</v>
      </c>
      <c r="C22" s="61">
        <v>5000000</v>
      </c>
      <c r="D22" s="62">
        <f>IF(AND($C$3&gt;=B22,$C$3&lt;=C22),19000+(0.01*($C$3-C21)),0)</f>
        <v>0</v>
      </c>
    </row>
    <row r="23" spans="2:4" hidden="1" x14ac:dyDescent="0.25">
      <c r="B23" s="60">
        <v>5000000.01</v>
      </c>
      <c r="C23" s="61">
        <v>10000000</v>
      </c>
      <c r="D23" s="62">
        <f>IF(AND($C$3&gt;=B23,$C$3&lt;=C23),59000+(0.005*($C$3-C22)),0)</f>
        <v>0</v>
      </c>
    </row>
    <row r="24" spans="2:4" hidden="1" x14ac:dyDescent="0.25">
      <c r="B24" s="60">
        <v>10000000.01</v>
      </c>
      <c r="C24" s="61">
        <v>20000000</v>
      </c>
      <c r="D24" s="62">
        <f>IF(AND($C$3&gt;=B24,$C$3&lt;=C24),84000+(0.002*($C$3-C23)),0)</f>
        <v>0</v>
      </c>
    </row>
    <row r="25" spans="2:4" hidden="1" x14ac:dyDescent="0.25">
      <c r="B25" s="60">
        <v>20000000.010000002</v>
      </c>
      <c r="C25" s="61">
        <v>50000000</v>
      </c>
      <c r="D25" s="62">
        <f>IF(AND($C$3&gt;=B25,$C$3&lt;=C25),104000+(0.001*($C$3-C24)),0)</f>
        <v>0</v>
      </c>
    </row>
    <row r="26" spans="2:4" hidden="1" x14ac:dyDescent="0.25">
      <c r="B26" s="60">
        <v>50000000.009999998</v>
      </c>
      <c r="C26" s="61">
        <v>100000000</v>
      </c>
      <c r="D26" s="62">
        <f>IF(AND($C$3&gt;=B26,$C$3&lt;=C26),134000+(0.0005*($C$3-C25)),0)</f>
        <v>0</v>
      </c>
    </row>
    <row r="27" spans="2:4" ht="16.5" hidden="1" thickBot="1" x14ac:dyDescent="0.3">
      <c r="B27" s="63">
        <v>100000000.01000001</v>
      </c>
      <c r="C27" s="64"/>
      <c r="D27" s="65">
        <f>IF($C$3&gt;=B27,159000+(0.00025*($C$3-C26)),0)</f>
        <v>0</v>
      </c>
    </row>
    <row r="28" spans="2:4" hidden="1" x14ac:dyDescent="0.25">
      <c r="B28" s="55"/>
      <c r="C28" s="55"/>
      <c r="D28" s="55"/>
    </row>
    <row r="29" spans="2:4" ht="16.5" hidden="1" thickBot="1" x14ac:dyDescent="0.3">
      <c r="B29" s="56"/>
      <c r="C29" s="56"/>
      <c r="D29" s="56"/>
    </row>
    <row r="30" spans="2:4" hidden="1" x14ac:dyDescent="0.25">
      <c r="B30" s="128" t="s">
        <v>9</v>
      </c>
      <c r="C30" s="129"/>
      <c r="D30" s="130"/>
    </row>
    <row r="31" spans="2:4" hidden="1" x14ac:dyDescent="0.25">
      <c r="B31" s="57" t="s">
        <v>4</v>
      </c>
      <c r="C31" s="58" t="s">
        <v>5</v>
      </c>
      <c r="D31" s="59" t="s">
        <v>6</v>
      </c>
    </row>
    <row r="32" spans="2:4" hidden="1" x14ac:dyDescent="0.25">
      <c r="B32" s="60">
        <v>0</v>
      </c>
      <c r="C32" s="61">
        <v>50000</v>
      </c>
      <c r="D32" s="62">
        <f>IF($C$3&lt;=C32,3000,0)</f>
        <v>3000</v>
      </c>
    </row>
    <row r="33" spans="2:4" hidden="1" x14ac:dyDescent="0.25">
      <c r="B33" s="60">
        <v>50000.01</v>
      </c>
      <c r="C33" s="61">
        <v>200000</v>
      </c>
      <c r="D33" s="62">
        <f>IF(AND($C$3&gt;=B33,$C$3&lt;=C33),3000+(0.04*($C$3-C32)),0)</f>
        <v>0</v>
      </c>
    </row>
    <row r="34" spans="2:4" hidden="1" x14ac:dyDescent="0.25">
      <c r="B34" s="60">
        <v>200000.01</v>
      </c>
      <c r="C34" s="61">
        <v>500000</v>
      </c>
      <c r="D34" s="62">
        <f>IF(AND($C$3&gt;=B34,$C$3&lt;=C34),9000+(0.035*($C$3-C33)),0)</f>
        <v>0</v>
      </c>
    </row>
    <row r="35" spans="2:4" hidden="1" x14ac:dyDescent="0.25">
      <c r="B35" s="60">
        <v>500000.01</v>
      </c>
      <c r="C35" s="61">
        <v>1000000</v>
      </c>
      <c r="D35" s="62">
        <f>IF(AND($C$3&gt;=B35,$C$3&lt;=C35),19500+(0.025*($C$3-C34)),0)</f>
        <v>0</v>
      </c>
    </row>
    <row r="36" spans="2:4" hidden="1" x14ac:dyDescent="0.25">
      <c r="B36" s="60">
        <v>1000000.01</v>
      </c>
      <c r="C36" s="61">
        <v>5000000</v>
      </c>
      <c r="D36" s="62">
        <f>IF(AND($C$3&gt;=B36,$C$3&lt;=C36),32000+(0.01*($C$3-C35)),0)</f>
        <v>0</v>
      </c>
    </row>
    <row r="37" spans="2:4" hidden="1" x14ac:dyDescent="0.25">
      <c r="B37" s="60">
        <v>5000000.01</v>
      </c>
      <c r="C37" s="61">
        <v>10000000</v>
      </c>
      <c r="D37" s="62">
        <f>IF(AND($C$3&gt;=B37,$C$3&lt;=C37),72000+(0.006*($C$3-C36)),0)</f>
        <v>0</v>
      </c>
    </row>
    <row r="38" spans="2:4" hidden="1" x14ac:dyDescent="0.25">
      <c r="B38" s="60">
        <v>10000000.01</v>
      </c>
      <c r="C38" s="61">
        <v>20000000</v>
      </c>
      <c r="D38" s="62">
        <f>IF(AND($C$3&gt;=B38,$C$3&lt;=C38),102000+(0.003*($C$3-C37)),0)</f>
        <v>0</v>
      </c>
    </row>
    <row r="39" spans="2:4" hidden="1" x14ac:dyDescent="0.25">
      <c r="B39" s="60">
        <v>20000000.010000002</v>
      </c>
      <c r="C39" s="61">
        <v>50000000</v>
      </c>
      <c r="D39" s="62">
        <f>IF(AND($C$3&gt;=B39,$C$3&lt;=C39),132000+(0.002*($C$3-C38)),0)</f>
        <v>0</v>
      </c>
    </row>
    <row r="40" spans="2:4" hidden="1" x14ac:dyDescent="0.25">
      <c r="B40" s="60">
        <v>50000000.009999998</v>
      </c>
      <c r="C40" s="61">
        <v>100000000</v>
      </c>
      <c r="D40" s="62">
        <f>IF(AND($C$3&gt;=B40,$C$3&lt;=C40),192000+(0.001*($C$3-C39)),0)</f>
        <v>0</v>
      </c>
    </row>
    <row r="41" spans="2:4" hidden="1" x14ac:dyDescent="0.25">
      <c r="B41" s="60">
        <v>100000000.01000001</v>
      </c>
      <c r="C41" s="61">
        <v>500000000</v>
      </c>
      <c r="D41" s="62">
        <f>IF(AND($C$3&gt;=B41,$C$3&lt;=C41),242000+(0.0005*($C$3-C40)),0)</f>
        <v>0</v>
      </c>
    </row>
    <row r="42" spans="2:4" ht="16.5" hidden="1" thickBot="1" x14ac:dyDescent="0.3">
      <c r="B42" s="66">
        <v>500000000.00999999</v>
      </c>
      <c r="C42" s="67"/>
      <c r="D42" s="65">
        <f>IF($C$3&gt;=B42,442000+(0.00025*($C$3-C41)),0)</f>
        <v>0</v>
      </c>
    </row>
  </sheetData>
  <sheetProtection algorithmName="SHA-512" hashValue="re/OvJvsqjxRv6bj1tt1LS4ZVswQoM8Yrt9XZHTCVq5SrOkH/0pgcHRd7hY9/doZDLEKkhyT2UnZZf+/PQo8jA==" saltValue="U39Em/V2n9SDLnjCdWGnyQ==" spinCount="100000" sheet="1" objects="1" scenarios="1"/>
  <mergeCells count="7">
    <mergeCell ref="B30:D30"/>
    <mergeCell ref="B2:E2"/>
    <mergeCell ref="B3:B6"/>
    <mergeCell ref="C3:C6"/>
    <mergeCell ref="D3:E3"/>
    <mergeCell ref="B17:D17"/>
    <mergeCell ref="B14:E14"/>
  </mergeCells>
  <dataValidations count="1">
    <dataValidation type="whole" errorStyle="warning" operator="equal" allowBlank="1" showInputMessage="1" showErrorMessage="1" error="A Arbitragem de Emergência será realizada por apenas um árbitro." sqref="C7" xr:uid="{1253B941-60B6-8F4C-9DA4-EBA8F34FF635}">
      <formula1>1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6275-AB1C-754A-B472-FE1155F65231}">
  <dimension ref="B1:E32"/>
  <sheetViews>
    <sheetView zoomScale="118" workbookViewId="0">
      <selection activeCell="B33" sqref="B33"/>
    </sheetView>
  </sheetViews>
  <sheetFormatPr defaultColWidth="10.875" defaultRowHeight="15.75" x14ac:dyDescent="0.25"/>
  <cols>
    <col min="1" max="1" width="10.875" style="73"/>
    <col min="2" max="2" width="24.125" style="73" customWidth="1"/>
    <col min="3" max="3" width="26.375" style="73" customWidth="1"/>
    <col min="4" max="4" width="21.875" style="73" bestFit="1" customWidth="1"/>
    <col min="5" max="5" width="16.875" style="73" customWidth="1"/>
    <col min="6" max="16384" width="10.875" style="73"/>
  </cols>
  <sheetData>
    <row r="1" spans="2:5" ht="16.5" thickBot="1" x14ac:dyDescent="0.3"/>
    <row r="2" spans="2:5" ht="21.75" thickBot="1" x14ac:dyDescent="0.4">
      <c r="B2" s="147" t="s">
        <v>23</v>
      </c>
      <c r="C2" s="148"/>
      <c r="D2" s="148"/>
      <c r="E2" s="149"/>
    </row>
    <row r="3" spans="2:5" ht="15.95" customHeight="1" x14ac:dyDescent="0.25">
      <c r="B3" s="150" t="s">
        <v>0</v>
      </c>
      <c r="C3" s="152">
        <v>0</v>
      </c>
      <c r="D3" s="154" t="s">
        <v>2</v>
      </c>
      <c r="E3" s="155"/>
    </row>
    <row r="4" spans="2:5" x14ac:dyDescent="0.25">
      <c r="B4" s="151"/>
      <c r="C4" s="153"/>
      <c r="D4" s="94" t="s">
        <v>10</v>
      </c>
      <c r="E4" s="91">
        <f>IF(C3=0,0,SUM(D17:D19))</f>
        <v>0</v>
      </c>
    </row>
    <row r="5" spans="2:5" x14ac:dyDescent="0.25">
      <c r="B5" s="151"/>
      <c r="C5" s="153"/>
      <c r="D5" s="94" t="s">
        <v>11</v>
      </c>
      <c r="E5" s="91">
        <f>IF(C3=0,0,IF(SUM(D24:D30)&lt;=25000,SUM(D24:D30),25000))</f>
        <v>0</v>
      </c>
    </row>
    <row r="6" spans="2:5" x14ac:dyDescent="0.25">
      <c r="B6" s="151"/>
      <c r="C6" s="153"/>
      <c r="D6" s="94" t="s">
        <v>13</v>
      </c>
      <c r="E6" s="91">
        <f>C7*C8</f>
        <v>0</v>
      </c>
    </row>
    <row r="7" spans="2:5" ht="37.5" x14ac:dyDescent="0.25">
      <c r="B7" s="92" t="s">
        <v>12</v>
      </c>
      <c r="C7" s="98">
        <v>0</v>
      </c>
      <c r="D7" s="143" t="s">
        <v>3</v>
      </c>
      <c r="E7" s="145">
        <f>SUM(E4:E6)</f>
        <v>0</v>
      </c>
    </row>
    <row r="8" spans="2:5" ht="38.25" thickBot="1" x14ac:dyDescent="0.3">
      <c r="B8" s="93" t="s">
        <v>14</v>
      </c>
      <c r="C8" s="99">
        <v>0</v>
      </c>
      <c r="D8" s="144"/>
      <c r="E8" s="146"/>
    </row>
    <row r="14" spans="2:5" ht="33.75" customHeight="1" x14ac:dyDescent="0.25">
      <c r="B14" s="162" t="s">
        <v>19</v>
      </c>
      <c r="C14" s="161"/>
      <c r="D14" s="161"/>
      <c r="E14" s="161"/>
    </row>
    <row r="15" spans="2:5" hidden="1" x14ac:dyDescent="0.25">
      <c r="B15" s="140" t="s">
        <v>7</v>
      </c>
      <c r="C15" s="141"/>
      <c r="D15" s="142"/>
    </row>
    <row r="16" spans="2:5" hidden="1" x14ac:dyDescent="0.25">
      <c r="B16" s="74" t="s">
        <v>4</v>
      </c>
      <c r="C16" s="75" t="s">
        <v>5</v>
      </c>
      <c r="D16" s="76" t="s">
        <v>6</v>
      </c>
    </row>
    <row r="17" spans="2:4" hidden="1" x14ac:dyDescent="0.25">
      <c r="B17" s="77">
        <v>0</v>
      </c>
      <c r="C17" s="78">
        <v>1000000</v>
      </c>
      <c r="D17" s="79">
        <f>IF(C3&lt;=C17,500,0)</f>
        <v>500</v>
      </c>
    </row>
    <row r="18" spans="2:4" hidden="1" x14ac:dyDescent="0.25">
      <c r="B18" s="77">
        <v>1000000.01</v>
      </c>
      <c r="C18" s="78">
        <v>5000000</v>
      </c>
      <c r="D18" s="79">
        <f>IF(AND($C$3&gt;=B18,$C$3&lt;=C18),1500,0)</f>
        <v>0</v>
      </c>
    </row>
    <row r="19" spans="2:4" ht="16.5" hidden="1" thickBot="1" x14ac:dyDescent="0.3">
      <c r="B19" s="80">
        <v>5000000.01</v>
      </c>
      <c r="C19" s="81"/>
      <c r="D19" s="82">
        <f>IF(C3&gt;=B19,2500,0)</f>
        <v>0</v>
      </c>
    </row>
    <row r="20" spans="2:4" hidden="1" x14ac:dyDescent="0.25">
      <c r="B20" s="83"/>
      <c r="C20" s="84"/>
      <c r="D20" s="85"/>
    </row>
    <row r="21" spans="2:4" ht="16.5" hidden="1" thickBot="1" x14ac:dyDescent="0.3">
      <c r="D21" s="86"/>
    </row>
    <row r="22" spans="2:4" hidden="1" x14ac:dyDescent="0.25">
      <c r="B22" s="140" t="s">
        <v>8</v>
      </c>
      <c r="C22" s="141"/>
      <c r="D22" s="142"/>
    </row>
    <row r="23" spans="2:4" hidden="1" x14ac:dyDescent="0.25">
      <c r="B23" s="74" t="s">
        <v>4</v>
      </c>
      <c r="C23" s="75" t="s">
        <v>5</v>
      </c>
      <c r="D23" s="76" t="s">
        <v>6</v>
      </c>
    </row>
    <row r="24" spans="2:4" hidden="1" x14ac:dyDescent="0.25">
      <c r="B24" s="87">
        <v>0</v>
      </c>
      <c r="C24" s="88">
        <v>1000000</v>
      </c>
      <c r="D24" s="79">
        <f>IF($C$3&lt;=C24,1500,0)</f>
        <v>1500</v>
      </c>
    </row>
    <row r="25" spans="2:4" hidden="1" x14ac:dyDescent="0.25">
      <c r="B25" s="87">
        <v>1000000.01</v>
      </c>
      <c r="C25" s="88">
        <v>5000000</v>
      </c>
      <c r="D25" s="79">
        <f>IF(AND($C$3&gt;=B25,$C$3&lt;=C25),3000,0)</f>
        <v>0</v>
      </c>
    </row>
    <row r="26" spans="2:4" hidden="1" x14ac:dyDescent="0.25">
      <c r="B26" s="87">
        <v>5000000.01</v>
      </c>
      <c r="C26" s="88">
        <v>10000000</v>
      </c>
      <c r="D26" s="79">
        <f>IF(AND($C$3&gt;=B26,$C$3&lt;=C26),6000,0)</f>
        <v>0</v>
      </c>
    </row>
    <row r="27" spans="2:4" hidden="1" x14ac:dyDescent="0.25">
      <c r="B27" s="87">
        <v>10000000.01</v>
      </c>
      <c r="C27" s="88">
        <v>20000000</v>
      </c>
      <c r="D27" s="79">
        <f>IF(AND($C$3&gt;=B27,$C$3&lt;=C27),8000,0)</f>
        <v>0</v>
      </c>
    </row>
    <row r="28" spans="2:4" hidden="1" x14ac:dyDescent="0.25">
      <c r="B28" s="87">
        <v>20000000.010000002</v>
      </c>
      <c r="C28" s="88">
        <v>50000000</v>
      </c>
      <c r="D28" s="79">
        <f>IF(AND($C$3&gt;=B28,$C$3&lt;=C28),13000,0)</f>
        <v>0</v>
      </c>
    </row>
    <row r="29" spans="2:4" hidden="1" x14ac:dyDescent="0.25">
      <c r="B29" s="87">
        <v>50000000.009999998</v>
      </c>
      <c r="C29" s="88">
        <v>100000000</v>
      </c>
      <c r="D29" s="79">
        <f>IF(AND($C$3&gt;=B29,$C$3&lt;=C29),20000,0)</f>
        <v>0</v>
      </c>
    </row>
    <row r="30" spans="2:4" ht="7.5" hidden="1" thickBot="1" x14ac:dyDescent="0.3">
      <c r="B30" s="89">
        <v>100000000.01000001</v>
      </c>
      <c r="C30" s="90"/>
      <c r="D30" s="82">
        <f>IF($C$3&gt;=B30,25000,0)</f>
        <v>0</v>
      </c>
    </row>
    <row r="31" spans="2:4" x14ac:dyDescent="0.25">
      <c r="B31" s="85"/>
      <c r="C31" s="85"/>
      <c r="D31" s="85"/>
    </row>
    <row r="32" spans="2:4" x14ac:dyDescent="0.25">
      <c r="B32" s="86"/>
      <c r="C32" s="86"/>
      <c r="D32" s="86"/>
    </row>
  </sheetData>
  <sheetProtection algorithmName="SHA-512" hashValue="/RJpZ1WPop4inNukSlTsfCq+c/b2+vOmvXeD187h5PDYImaWJJbmAYCq9vCs2JhN6YqGvgQVk7rHBdxYsA89mQ==" saltValue="zT1NVfbLD1RNLXvF0wpu0g==" spinCount="100000" sheet="1" objects="1" scenarios="1"/>
  <mergeCells count="9">
    <mergeCell ref="B15:D15"/>
    <mergeCell ref="B22:D22"/>
    <mergeCell ref="D7:D8"/>
    <mergeCell ref="E7:E8"/>
    <mergeCell ref="B2:E2"/>
    <mergeCell ref="B3:B6"/>
    <mergeCell ref="C3:C6"/>
    <mergeCell ref="D3:E3"/>
    <mergeCell ref="B14:E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Ordinária</vt:lpstr>
      <vt:lpstr>Expedito</vt:lpstr>
      <vt:lpstr>Emergência</vt:lpstr>
      <vt:lpstr>Mediação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Bogus Pereira</dc:creator>
  <cp:lastModifiedBy>Henrique Bogus Pereira</cp:lastModifiedBy>
  <dcterms:created xsi:type="dcterms:W3CDTF">2022-02-04T22:55:47Z</dcterms:created>
  <dcterms:modified xsi:type="dcterms:W3CDTF">2022-02-24T17:33:24Z</dcterms:modified>
</cp:coreProperties>
</file>