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40" tabRatio="721" firstSheet="10" activeTab="10"/>
  </bookViews>
  <sheets>
    <sheet name="CCBC 2011" sheetId="1" state="hidden" r:id="rId1"/>
    <sheet name="Simulação R$ 01.12.2011 (2)" sheetId="2" state="hidden" r:id="rId2"/>
    <sheet name="Simulação R$ 01.12.2011" sheetId="3" state="hidden" r:id="rId3"/>
    <sheet name="Simulação R$)" sheetId="4" state="hidden" r:id="rId4"/>
    <sheet name="Simulação US $" sheetId="5" state="hidden" r:id="rId5"/>
    <sheet name="Por hora" sheetId="6" state="hidden" r:id="rId6"/>
    <sheet name="Out 2011" sheetId="7" state="hidden" r:id="rId7"/>
    <sheet name="TAbela de Custas e Honorári (2)" sheetId="8" state="hidden" r:id="rId8"/>
    <sheet name="TAbela de Custas e Honorários -" sheetId="9" state="hidden" r:id="rId9"/>
    <sheet name="Plan1" sheetId="10" state="hidden" r:id="rId10"/>
    <sheet name="SIMULADOR" sheetId="11" r:id="rId11"/>
    <sheet name="Mediação" sheetId="12" r:id="rId12"/>
    <sheet name="Expedita" sheetId="13" r:id="rId13"/>
    <sheet name="Ordinária" sheetId="14" r:id="rId14"/>
    <sheet name="Arbitragem de Emergência" sheetId="15" r:id="rId15"/>
  </sheets>
  <definedNames>
    <definedName name="_xlnm.Print_Area" localSheetId="2">'Simulação R$ 01.12.2011'!$A$1:$I$17</definedName>
    <definedName name="_xlnm.Print_Area" localSheetId="1">'Simulação R$ 01.12.2011 (2)'!$A$1:$I$17</definedName>
    <definedName name="_xlnm.Print_Area" localSheetId="3">'Simulação R$)'!$A$1:$I$44</definedName>
    <definedName name="_xlnm.Print_Area" localSheetId="4">'Simulação US $'!$A$1:$I$17</definedName>
    <definedName name="_xlnm.Print_Titles" localSheetId="6">'Out 2011'!$1:$2</definedName>
  </definedNames>
  <calcPr fullCalcOnLoad="1"/>
</workbook>
</file>

<file path=xl/comments1.xml><?xml version="1.0" encoding="utf-8"?>
<comments xmlns="http://schemas.openxmlformats.org/spreadsheetml/2006/main">
  <authors>
    <author>patricia.kobayashi</author>
    <author>Centro</author>
  </authors>
  <commentList>
    <comment ref="F1" authorId="0">
      <text>
        <r>
          <rPr>
            <b/>
            <sz val="9"/>
            <rFont val="Tahoma"/>
            <family val="2"/>
          </rPr>
          <t>patricia.kobayashi:
Dólar - R$1,71
Euro - R$2,31
(câmbio 27/09/2010, site BCB)</t>
        </r>
      </text>
    </comment>
    <comment ref="L1" authorId="0">
      <text>
        <r>
          <rPr>
            <b/>
            <sz val="9"/>
            <rFont val="Tahoma"/>
            <family val="2"/>
          </rPr>
          <t>patricia.kobayashi:
Assinatura do Termo ou aceitação do último árbitro?</t>
        </r>
        <r>
          <rPr>
            <sz val="9"/>
            <rFont val="Tahoma"/>
            <family val="2"/>
          </rPr>
          <t xml:space="preserve">
</t>
        </r>
      </text>
    </comment>
    <comment ref="M1" authorId="1">
      <text>
        <r>
          <rPr>
            <b/>
            <sz val="9"/>
            <rFont val="Tahoma"/>
            <family val="2"/>
          </rPr>
          <t>Centro:</t>
        </r>
        <r>
          <rPr>
            <sz val="9"/>
            <rFont val="Tahoma"/>
            <family val="2"/>
          </rPr>
          <t xml:space="preserve">
Trânsito em Julgado</t>
        </r>
      </text>
    </comment>
    <comment ref="L2" authorId="1">
      <text>
        <r>
          <rPr>
            <b/>
            <sz val="9"/>
            <rFont val="Tahoma"/>
            <family val="2"/>
          </rPr>
          <t>Centro:</t>
        </r>
        <r>
          <rPr>
            <sz val="9"/>
            <rFont val="Tahoma"/>
            <family val="2"/>
          </rPr>
          <t xml:space="preserve">
A data é aproximada, pois só dispunhamos do mês e ano.
</t>
        </r>
      </text>
    </comment>
    <comment ref="M2" authorId="1">
      <text>
        <r>
          <rPr>
            <b/>
            <sz val="9"/>
            <rFont val="Tahoma"/>
            <family val="2"/>
          </rPr>
          <t>Centro:</t>
        </r>
        <r>
          <rPr>
            <sz val="9"/>
            <rFont val="Tahoma"/>
            <family val="2"/>
          </rPr>
          <t xml:space="preserve">
A data é aproximada, pois só dispunhamos do mês e ano.
</t>
        </r>
      </text>
    </comment>
    <comment ref="L29" authorId="1">
      <text>
        <r>
          <rPr>
            <b/>
            <sz val="9"/>
            <rFont val="Tahoma"/>
            <family val="2"/>
          </rPr>
          <t>Centro:</t>
        </r>
        <r>
          <rPr>
            <sz val="9"/>
            <rFont val="Tahoma"/>
            <family val="2"/>
          </rPr>
          <t xml:space="preserve">
Arbitragem
não
Iniciada
Encerrado
Desistência  do feito em 13/05/05
</t>
        </r>
      </text>
    </comment>
    <comment ref="L30" authorId="1">
      <text>
        <r>
          <rPr>
            <b/>
            <sz val="9"/>
            <rFont val="Tahoma"/>
            <family val="2"/>
          </rPr>
          <t>Centro:</t>
        </r>
        <r>
          <rPr>
            <sz val="9"/>
            <rFont val="Tahoma"/>
            <family val="2"/>
          </rPr>
          <t xml:space="preserve">
Arbitragem
não
iniciada.
Encerrado
Falta assinatura no contrato. Notificado em </t>
        </r>
      </text>
    </comment>
    <comment ref="L36" authorId="1">
      <text>
        <r>
          <rPr>
            <b/>
            <sz val="9"/>
            <rFont val="Tahoma"/>
            <family val="2"/>
          </rPr>
          <t>Centro:</t>
        </r>
        <r>
          <rPr>
            <sz val="9"/>
            <rFont val="Tahoma"/>
            <family val="2"/>
          </rPr>
          <t xml:space="preserve">
Arbitragem
não
iniciada.
Encerrado
Partes transigiram.
Notificado em </t>
        </r>
      </text>
    </comment>
    <comment ref="L37" authorId="1">
      <text>
        <r>
          <rPr>
            <b/>
            <sz val="9"/>
            <rFont val="Tahoma"/>
            <family val="2"/>
          </rPr>
          <t>Centro:</t>
        </r>
        <r>
          <rPr>
            <sz val="9"/>
            <rFont val="Tahoma"/>
            <family val="2"/>
          </rPr>
          <t xml:space="preserve">
Arbitragem
não
iniciada.
Encerrado
por
desistência
da parte
Requerente
</t>
        </r>
      </text>
    </comment>
    <comment ref="L46" authorId="1">
      <text>
        <r>
          <rPr>
            <b/>
            <sz val="9"/>
            <rFont val="Tahoma"/>
            <family val="2"/>
          </rPr>
          <t>Centro:</t>
        </r>
        <r>
          <rPr>
            <sz val="9"/>
            <rFont val="Tahoma"/>
            <family val="2"/>
          </rPr>
          <t xml:space="preserve">
Arbitragem
não
Iniciada.
Encerrado
Apreensão dos autos
</t>
        </r>
      </text>
    </comment>
    <comment ref="L48" authorId="1">
      <text>
        <r>
          <rPr>
            <b/>
            <sz val="9"/>
            <rFont val="Tahoma"/>
            <family val="2"/>
          </rPr>
          <t>Centro:</t>
        </r>
        <r>
          <rPr>
            <sz val="9"/>
            <rFont val="Tahoma"/>
            <family val="2"/>
          </rPr>
          <t xml:space="preserve">
Arbitragem
não
Iniciada.
Encerrado
Cláusula Vazia. Notificado
</t>
        </r>
      </text>
    </comment>
    <comment ref="L56" authorId="1">
      <text>
        <r>
          <rPr>
            <b/>
            <sz val="9"/>
            <rFont val="Tahoma"/>
            <family val="2"/>
          </rPr>
          <t>Centro:</t>
        </r>
        <r>
          <rPr>
            <sz val="9"/>
            <rFont val="Tahoma"/>
            <family val="2"/>
          </rPr>
          <t xml:space="preserve">
não consta este dado na Relação Geral de Processos.
</t>
        </r>
      </text>
    </comment>
    <comment ref="M66" authorId="1">
      <text>
        <r>
          <rPr>
            <b/>
            <sz val="9"/>
            <rFont val="Tahoma"/>
            <family val="2"/>
          </rPr>
          <t>Centro:</t>
        </r>
        <r>
          <rPr>
            <sz val="9"/>
            <rFont val="Tahoma"/>
            <family val="2"/>
          </rPr>
          <t xml:space="preserve">
Suspenso
Falta de
Pagamento
</t>
        </r>
      </text>
    </comment>
    <comment ref="M69" authorId="1">
      <text>
        <r>
          <rPr>
            <b/>
            <sz val="9"/>
            <rFont val="Tahoma"/>
            <family val="2"/>
          </rPr>
          <t>Centro:</t>
        </r>
        <r>
          <rPr>
            <sz val="9"/>
            <rFont val="Tahoma"/>
            <family val="2"/>
          </rPr>
          <t xml:space="preserve">
Suspenso
Aguardando fixação do objeto da lide no Judiciário
</t>
        </r>
      </text>
    </comment>
    <comment ref="L72" authorId="1">
      <text>
        <r>
          <rPr>
            <b/>
            <sz val="9"/>
            <rFont val="Tahoma"/>
            <family val="2"/>
          </rPr>
          <t>Centro:</t>
        </r>
        <r>
          <rPr>
            <sz val="9"/>
            <rFont val="Tahoma"/>
            <family val="2"/>
          </rPr>
          <t xml:space="preserve">
Não instaurada.
Encerrado
Partes transigiram antes de instaurada a arbitragem
</t>
        </r>
      </text>
    </comment>
    <comment ref="L74" authorId="1">
      <text>
        <r>
          <rPr>
            <b/>
            <sz val="9"/>
            <rFont val="Tahoma"/>
            <family val="2"/>
          </rPr>
          <t>Centro:</t>
        </r>
        <r>
          <rPr>
            <sz val="9"/>
            <rFont val="Tahoma"/>
            <family val="2"/>
          </rPr>
          <t xml:space="preserve">
Arbitragem
não
iniciada.
Encerrado
Desistência das partes em 18/12/06</t>
        </r>
      </text>
    </comment>
    <comment ref="L77" authorId="1">
      <text>
        <r>
          <rPr>
            <b/>
            <sz val="9"/>
            <rFont val="Tahoma"/>
            <family val="2"/>
          </rPr>
          <t>Centro:</t>
        </r>
        <r>
          <rPr>
            <sz val="9"/>
            <rFont val="Tahoma"/>
            <family val="2"/>
          </rPr>
          <t xml:space="preserve">
Não Instaurada
Suspenso por requerimento das partes – aguardando provocação
</t>
        </r>
      </text>
    </comment>
    <comment ref="L80" authorId="1">
      <text>
        <r>
          <rPr>
            <b/>
            <sz val="9"/>
            <rFont val="Tahoma"/>
            <family val="2"/>
          </rPr>
          <t>Centro:</t>
        </r>
        <r>
          <rPr>
            <sz val="9"/>
            <rFont val="Tahoma"/>
            <family val="2"/>
          </rPr>
          <t xml:space="preserve">
Não Instaurada
Encerrado
Desistência das partes em 18/06/07</t>
        </r>
      </text>
    </comment>
    <comment ref="L89" authorId="1">
      <text>
        <r>
          <rPr>
            <b/>
            <sz val="9"/>
            <rFont val="Tahoma"/>
            <family val="2"/>
          </rPr>
          <t>Centro:</t>
        </r>
        <r>
          <rPr>
            <sz val="9"/>
            <rFont val="Tahoma"/>
            <family val="2"/>
          </rPr>
          <t xml:space="preserve">
*</t>
        </r>
      </text>
    </comment>
    <comment ref="L90" authorId="1">
      <text>
        <r>
          <rPr>
            <b/>
            <sz val="9"/>
            <rFont val="Tahoma"/>
            <family val="2"/>
          </rPr>
          <t>Centro:</t>
        </r>
        <r>
          <rPr>
            <sz val="9"/>
            <rFont val="Tahoma"/>
            <family val="2"/>
          </rPr>
          <t xml:space="preserve">
*</t>
        </r>
      </text>
    </comment>
    <comment ref="K91" authorId="1">
      <text>
        <r>
          <rPr>
            <b/>
            <sz val="9"/>
            <rFont val="Tahoma"/>
            <family val="2"/>
          </rPr>
          <t>Centro:</t>
        </r>
        <r>
          <rPr>
            <sz val="9"/>
            <rFont val="Tahoma"/>
            <family val="2"/>
          </rPr>
          <t xml:space="preserve">
*</t>
        </r>
      </text>
    </comment>
    <comment ref="L91" authorId="1">
      <text>
        <r>
          <rPr>
            <b/>
            <sz val="9"/>
            <rFont val="Tahoma"/>
            <family val="2"/>
          </rPr>
          <t>Centro:</t>
        </r>
        <r>
          <rPr>
            <sz val="9"/>
            <rFont val="Tahoma"/>
            <family val="2"/>
          </rPr>
          <t xml:space="preserve">
Não Instaurada
Partes acordaram em 18/02/08
</t>
        </r>
      </text>
    </comment>
    <comment ref="M94" authorId="1">
      <text>
        <r>
          <rPr>
            <b/>
            <sz val="9"/>
            <rFont val="Tahoma"/>
            <family val="2"/>
          </rPr>
          <t>Centro:</t>
        </r>
        <r>
          <rPr>
            <sz val="9"/>
            <rFont val="Tahoma"/>
            <family val="2"/>
          </rPr>
          <t xml:space="preserve">
(desistência do pedido)</t>
        </r>
      </text>
    </comment>
    <comment ref="M106" authorId="1">
      <text>
        <r>
          <rPr>
            <b/>
            <sz val="9"/>
            <rFont val="Tahoma"/>
            <family val="2"/>
          </rPr>
          <t>Centro:</t>
        </r>
        <r>
          <rPr>
            <sz val="9"/>
            <rFont val="Tahoma"/>
            <family val="2"/>
          </rPr>
          <t xml:space="preserve">
*</t>
        </r>
      </text>
    </comment>
    <comment ref="L115" authorId="1">
      <text>
        <r>
          <rPr>
            <b/>
            <sz val="9"/>
            <rFont val="Tahoma"/>
            <family val="2"/>
          </rPr>
          <t>Centro:</t>
        </r>
        <r>
          <rPr>
            <sz val="9"/>
            <rFont val="Tahoma"/>
            <family val="2"/>
          </rPr>
          <t xml:space="preserve">
Não instaurada 
Acordo (partes transaciona-
ram sobre o objeto do litígio)</t>
        </r>
      </text>
    </comment>
    <comment ref="L117" authorId="1">
      <text>
        <r>
          <rPr>
            <b/>
            <sz val="9"/>
            <rFont val="Tahoma"/>
            <family val="2"/>
          </rPr>
          <t>Centro:</t>
        </r>
        <r>
          <rPr>
            <sz val="9"/>
            <rFont val="Tahoma"/>
            <family val="2"/>
          </rPr>
          <t xml:space="preserve">
Não instaurada ainda
Suspensa decisão judicial
</t>
        </r>
      </text>
    </comment>
    <comment ref="L119" authorId="1">
      <text>
        <r>
          <rPr>
            <b/>
            <sz val="9"/>
            <rFont val="Tahoma"/>
            <family val="2"/>
          </rPr>
          <t>Centro:</t>
        </r>
        <r>
          <rPr>
            <sz val="9"/>
            <rFont val="Tahoma"/>
            <family val="2"/>
          </rPr>
          <t xml:space="preserve">
*</t>
        </r>
      </text>
    </comment>
    <comment ref="M119" authorId="1">
      <text>
        <r>
          <rPr>
            <b/>
            <sz val="9"/>
            <rFont val="Tahoma"/>
            <family val="2"/>
          </rPr>
          <t>Centro:</t>
        </r>
        <r>
          <rPr>
            <sz val="9"/>
            <rFont val="Tahoma"/>
            <family val="2"/>
          </rPr>
          <t xml:space="preserve">
*</t>
        </r>
      </text>
    </comment>
    <comment ref="L121" authorId="1">
      <text>
        <r>
          <rPr>
            <b/>
            <sz val="9"/>
            <rFont val="Tahoma"/>
            <family val="2"/>
          </rPr>
          <t>Centro:</t>
        </r>
        <r>
          <rPr>
            <sz val="9"/>
            <rFont val="Tahoma"/>
            <family val="2"/>
          </rPr>
          <t xml:space="preserve">
Não instaurada
Desistência da ação
</t>
        </r>
      </text>
    </comment>
    <comment ref="L130" authorId="1">
      <text>
        <r>
          <rPr>
            <b/>
            <sz val="9"/>
            <rFont val="Tahoma"/>
            <family val="2"/>
          </rPr>
          <t>Centro:</t>
        </r>
        <r>
          <rPr>
            <sz val="9"/>
            <rFont val="Tahoma"/>
            <family val="2"/>
          </rPr>
          <t xml:space="preserve">
*</t>
        </r>
      </text>
    </comment>
    <comment ref="L131" authorId="1">
      <text>
        <r>
          <rPr>
            <b/>
            <sz val="9"/>
            <rFont val="Tahoma"/>
            <family val="2"/>
          </rPr>
          <t>Centro:</t>
        </r>
        <r>
          <rPr>
            <sz val="9"/>
            <rFont val="Tahoma"/>
            <family val="2"/>
          </rPr>
          <t xml:space="preserve">
*</t>
        </r>
      </text>
    </comment>
    <comment ref="K132" authorId="1">
      <text>
        <r>
          <rPr>
            <b/>
            <sz val="9"/>
            <rFont val="Tahoma"/>
            <family val="2"/>
          </rPr>
          <t>Centro:</t>
        </r>
        <r>
          <rPr>
            <sz val="9"/>
            <rFont val="Tahoma"/>
            <family val="2"/>
          </rPr>
          <t xml:space="preserve">
*</t>
        </r>
      </text>
    </comment>
    <comment ref="C141" authorId="1">
      <text>
        <r>
          <rPr>
            <b/>
            <sz val="9"/>
            <rFont val="Tahoma"/>
            <family val="2"/>
          </rPr>
          <t>Centro:</t>
        </r>
        <r>
          <rPr>
            <sz val="9"/>
            <rFont val="Tahoma"/>
            <family val="2"/>
          </rPr>
          <t xml:space="preserve">
Houve  a consolidação deste procedimento ao Procedimento Arbitral n.18/2009</t>
        </r>
      </text>
    </comment>
    <comment ref="M141" authorId="1">
      <text>
        <r>
          <rPr>
            <b/>
            <sz val="9"/>
            <rFont val="Tahoma"/>
            <family val="2"/>
          </rPr>
          <t>Centro:</t>
        </r>
        <r>
          <rPr>
            <sz val="9"/>
            <rFont val="Tahoma"/>
            <family val="2"/>
          </rPr>
          <t xml:space="preserve">
Houve  a consolidação deste procedimento ao Procedimento Arbitral n.18/2009</t>
        </r>
      </text>
    </comment>
    <comment ref="L143" authorId="1">
      <text>
        <r>
          <rPr>
            <b/>
            <sz val="9"/>
            <rFont val="Tahoma"/>
            <family val="2"/>
          </rPr>
          <t>Centro:</t>
        </r>
        <r>
          <rPr>
            <sz val="9"/>
            <rFont val="Tahoma"/>
            <family val="2"/>
          </rPr>
          <t xml:space="preserve">
suspeso até 20.09.2010</t>
        </r>
      </text>
    </comment>
    <comment ref="L147" authorId="1">
      <text>
        <r>
          <rPr>
            <b/>
            <sz val="9"/>
            <rFont val="Tahoma"/>
            <family val="2"/>
          </rPr>
          <t>Centro:</t>
        </r>
        <r>
          <rPr>
            <sz val="9"/>
            <rFont val="Tahoma"/>
            <family val="2"/>
          </rPr>
          <t xml:space="preserve">
Encerrada – Acordo entre as partes em 26/08/2009</t>
        </r>
      </text>
    </comment>
    <comment ref="L149" authorId="1">
      <text>
        <r>
          <rPr>
            <b/>
            <sz val="9"/>
            <rFont val="Tahoma"/>
            <family val="2"/>
          </rPr>
          <t>Centro:</t>
        </r>
        <r>
          <rPr>
            <sz val="9"/>
            <rFont val="Tahoma"/>
            <family val="2"/>
          </rPr>
          <t xml:space="preserve">
AG. DESPACHO DO TRIBUNAL PARA EXTINGUIR A ARBITRAGEM</t>
        </r>
      </text>
    </comment>
    <comment ref="R159" authorId="0">
      <text>
        <r>
          <rPr>
            <b/>
            <sz val="9"/>
            <rFont val="Tahoma"/>
            <family val="2"/>
          </rPr>
          <t>patricia.kobayashi:</t>
        </r>
        <r>
          <rPr>
            <sz val="9"/>
            <rFont val="Tahoma"/>
            <family val="2"/>
          </rPr>
          <t xml:space="preserve">
25 a 29/10/2010</t>
        </r>
      </text>
    </comment>
    <comment ref="L161" authorId="1">
      <text>
        <r>
          <rPr>
            <b/>
            <sz val="9"/>
            <rFont val="Tahoma"/>
            <family val="2"/>
          </rPr>
          <t>Centro:</t>
        </r>
        <r>
          <rPr>
            <sz val="9"/>
            <rFont val="Tahoma"/>
            <family val="2"/>
          </rPr>
          <t xml:space="preserve">
27/11/09
EXTINÇÃO DO FEITO POR ACORDO DAS PARTES 
</t>
        </r>
      </text>
    </comment>
    <comment ref="L163" authorId="1">
      <text>
        <r>
          <rPr>
            <b/>
            <sz val="9"/>
            <rFont val="Tahoma"/>
            <family val="2"/>
          </rPr>
          <t>Centro:</t>
        </r>
        <r>
          <rPr>
            <sz val="9"/>
            <rFont val="Tahoma"/>
            <family val="2"/>
          </rPr>
          <t xml:space="preserve">
Acordo</t>
        </r>
      </text>
    </comment>
    <comment ref="L165" authorId="1">
      <text>
        <r>
          <rPr>
            <b/>
            <sz val="9"/>
            <rFont val="Tahoma"/>
            <family val="2"/>
          </rPr>
          <t>Centro:</t>
        </r>
        <r>
          <rPr>
            <sz val="9"/>
            <rFont val="Tahoma"/>
            <family val="2"/>
          </rPr>
          <t xml:space="preserve">
Acordo
</t>
        </r>
      </text>
    </comment>
    <comment ref="M173" authorId="1">
      <text>
        <r>
          <rPr>
            <b/>
            <sz val="9"/>
            <rFont val="Tahoma"/>
            <family val="2"/>
          </rPr>
          <t>Centro:</t>
        </r>
        <r>
          <rPr>
            <sz val="9"/>
            <rFont val="Tahoma"/>
            <family val="2"/>
          </rPr>
          <t xml:space="preserve">
*</t>
        </r>
      </text>
    </comment>
    <comment ref="L192" authorId="1">
      <text>
        <r>
          <rPr>
            <b/>
            <sz val="9"/>
            <rFont val="Tahoma"/>
            <family val="2"/>
          </rPr>
          <t>Centro:</t>
        </r>
        <r>
          <rPr>
            <sz val="9"/>
            <rFont val="Tahoma"/>
            <family val="2"/>
          </rPr>
          <t xml:space="preserve">
Não instaurada 
Acordo (partes transaciona-
ram sobre o objeto do litígio)</t>
        </r>
      </text>
    </comment>
    <comment ref="L197" authorId="1">
      <text>
        <r>
          <rPr>
            <b/>
            <sz val="9"/>
            <rFont val="Tahoma"/>
            <family val="2"/>
          </rPr>
          <t>Centro:</t>
        </r>
        <r>
          <rPr>
            <sz val="9"/>
            <rFont val="Tahoma"/>
            <family val="2"/>
          </rPr>
          <t xml:space="preserve">
Não instaurada ainda
Suspensa decisão judicial
</t>
        </r>
      </text>
    </comment>
    <comment ref="L200" authorId="1">
      <text>
        <r>
          <rPr>
            <b/>
            <sz val="9"/>
            <rFont val="Tahoma"/>
            <family val="2"/>
          </rPr>
          <t>Centro:</t>
        </r>
        <r>
          <rPr>
            <sz val="9"/>
            <rFont val="Tahoma"/>
            <family val="2"/>
          </rPr>
          <t xml:space="preserve">
*</t>
        </r>
      </text>
    </comment>
    <comment ref="M200" authorId="1">
      <text>
        <r>
          <rPr>
            <b/>
            <sz val="9"/>
            <rFont val="Tahoma"/>
            <family val="2"/>
          </rPr>
          <t>Centro:</t>
        </r>
        <r>
          <rPr>
            <sz val="9"/>
            <rFont val="Tahoma"/>
            <family val="2"/>
          </rPr>
          <t xml:space="preserve">
*</t>
        </r>
      </text>
    </comment>
  </commentList>
</comments>
</file>

<file path=xl/sharedStrings.xml><?xml version="1.0" encoding="utf-8"?>
<sst xmlns="http://schemas.openxmlformats.org/spreadsheetml/2006/main" count="2406" uniqueCount="666">
  <si>
    <t>Arb. 13/2007</t>
  </si>
  <si>
    <t>Arb. 14/2007</t>
  </si>
  <si>
    <t>Arb. 16/2007</t>
  </si>
  <si>
    <t>Arb. 17/2007</t>
  </si>
  <si>
    <t>Arb. 10/2002</t>
  </si>
  <si>
    <t>Arb. 11/2002</t>
  </si>
  <si>
    <t>Arb. 09/2005</t>
  </si>
  <si>
    <t>Arb. 10/2005</t>
  </si>
  <si>
    <t>Arb. 11/2005</t>
  </si>
  <si>
    <t>Arb. 12/2006</t>
  </si>
  <si>
    <t>Arb. 14/2006</t>
  </si>
  <si>
    <t>Arb. 18/2006</t>
  </si>
  <si>
    <t>Arb. 20/2006</t>
  </si>
  <si>
    <t>Arb. 21/2006</t>
  </si>
  <si>
    <t>Arb. 16/2006</t>
  </si>
  <si>
    <t>Arb. 17/2006</t>
  </si>
  <si>
    <t>Arb. 13/2006</t>
  </si>
  <si>
    <t>Arb. 19/2006</t>
  </si>
  <si>
    <t>Arb. 12/2007</t>
  </si>
  <si>
    <t>Arb. 15/2007</t>
  </si>
  <si>
    <t>Arb. 18/2007</t>
  </si>
  <si>
    <t>IGPM</t>
  </si>
  <si>
    <t>PERIODO</t>
  </si>
  <si>
    <t>IGP-M</t>
  </si>
  <si>
    <t>nº índice</t>
  </si>
  <si>
    <t>Acumulado</t>
  </si>
  <si>
    <t>Arb. 02/2008</t>
  </si>
  <si>
    <t>Arb. 04/2008</t>
  </si>
  <si>
    <t>Arb. 05/2008</t>
  </si>
  <si>
    <t>Arb. 06/2008</t>
  </si>
  <si>
    <t>Arb. 07/2008</t>
  </si>
  <si>
    <t>Arb. 08/2008</t>
  </si>
  <si>
    <t>Arb. 09/2008</t>
  </si>
  <si>
    <t>Arb. 10/2008</t>
  </si>
  <si>
    <t>Arb. 01/2008</t>
  </si>
  <si>
    <t>Arb. 03/2008</t>
  </si>
  <si>
    <t>Arb. 11/2008</t>
  </si>
  <si>
    <t>Arb. 12/2008</t>
  </si>
  <si>
    <t>Arb. 13/2008</t>
  </si>
  <si>
    <t>Arb. 14/2008</t>
  </si>
  <si>
    <t>Arb. 15/2008</t>
  </si>
  <si>
    <t>Arb. 16/2008</t>
  </si>
  <si>
    <t>Arb. 17/2008</t>
  </si>
  <si>
    <t>Arb. 18/2008</t>
  </si>
  <si>
    <t>Arb. 19/2008</t>
  </si>
  <si>
    <t>Arb. 20/2008</t>
  </si>
  <si>
    <t>Arb. 21/2008</t>
  </si>
  <si>
    <t>Arb. 23/2008</t>
  </si>
  <si>
    <t>Arb. 24/2008</t>
  </si>
  <si>
    <t>Arb. 25/2008</t>
  </si>
  <si>
    <t>Arb. 26/2008</t>
  </si>
  <si>
    <t>Arb. 27/2008</t>
  </si>
  <si>
    <t>Arb. 01/2009</t>
  </si>
  <si>
    <t>Arb. 02/2009</t>
  </si>
  <si>
    <t>Arb. 03/2009</t>
  </si>
  <si>
    <t>Arb. 04/2009</t>
  </si>
  <si>
    <t>Arb. 06/2009</t>
  </si>
  <si>
    <t>Arb. 07/2009</t>
  </si>
  <si>
    <t>Arb. 08/2009</t>
  </si>
  <si>
    <t>Arb. 09/2009</t>
  </si>
  <si>
    <t>Arb. 10/2009</t>
  </si>
  <si>
    <t>Arb. 11/2009</t>
  </si>
  <si>
    <t>Arb. 12/2009</t>
  </si>
  <si>
    <t>Arb. 13/2009</t>
  </si>
  <si>
    <t>Arb. 14/2009</t>
  </si>
  <si>
    <t>Arb. 15/2009</t>
  </si>
  <si>
    <t>Arb. 16/2009</t>
  </si>
  <si>
    <t>Arb. 17/2009</t>
  </si>
  <si>
    <t>Arb. 18/2009</t>
  </si>
  <si>
    <t>Arb. 19/2009</t>
  </si>
  <si>
    <t>Arb. 20/2009</t>
  </si>
  <si>
    <t>Arb. 21/2009</t>
  </si>
  <si>
    <t>Arb. 22/2009</t>
  </si>
  <si>
    <t>Arb. 23/2009</t>
  </si>
  <si>
    <t>Arb. 24/2009</t>
  </si>
  <si>
    <t>Arb. 25/2009</t>
  </si>
  <si>
    <t>Arb. 26/2009</t>
  </si>
  <si>
    <t>Arb. 27/2009</t>
  </si>
  <si>
    <t>Arb. 28/2009</t>
  </si>
  <si>
    <t>Arb. 29/2009</t>
  </si>
  <si>
    <t>Arb. 30/2009</t>
  </si>
  <si>
    <t>Arb. 31/2009</t>
  </si>
  <si>
    <t>Arb. 32/2009</t>
  </si>
  <si>
    <t>Arb. 33/2009</t>
  </si>
  <si>
    <t>Arb. 34/2009</t>
  </si>
  <si>
    <t>Arb. 35/2009</t>
  </si>
  <si>
    <t>Arb.36/2009</t>
  </si>
  <si>
    <t>Arb.37/2009</t>
  </si>
  <si>
    <t>Arb.38/2009</t>
  </si>
  <si>
    <t>Arb.39/2009</t>
  </si>
  <si>
    <t>Arb.40/2009</t>
  </si>
  <si>
    <t>Arb.41/2009</t>
  </si>
  <si>
    <t>Arb.42/2009</t>
  </si>
  <si>
    <t>Arb.43/2009</t>
  </si>
  <si>
    <t>Arb.44/2009</t>
  </si>
  <si>
    <t>Arb.45/2009</t>
  </si>
  <si>
    <t>Arb.46/2009</t>
  </si>
  <si>
    <t>Arb.47/2009</t>
  </si>
  <si>
    <t>Arb.48/2009</t>
  </si>
  <si>
    <t>Arb.49/2009</t>
  </si>
  <si>
    <t>Indeterminado</t>
  </si>
  <si>
    <t>Em andamento</t>
  </si>
  <si>
    <t>Arb. 22/2008</t>
  </si>
  <si>
    <t>Arb. 05/2009</t>
  </si>
  <si>
    <t>Não informado</t>
  </si>
  <si>
    <t>Arb. 01/1998</t>
  </si>
  <si>
    <t>Arb. 01/2000</t>
  </si>
  <si>
    <t>Arb. 02/2000</t>
  </si>
  <si>
    <t>Arb. 02/1999</t>
  </si>
  <si>
    <t>Arb. 03/2000</t>
  </si>
  <si>
    <t>Arb. 04/1999</t>
  </si>
  <si>
    <t>Arb. 05/1999</t>
  </si>
  <si>
    <t>Arb. 01/2001</t>
  </si>
  <si>
    <t>Arb. 01/2002</t>
  </si>
  <si>
    <t>Arb. 02/2002</t>
  </si>
  <si>
    <t>Arb. 03/2002</t>
  </si>
  <si>
    <t>Arb. 04/2002</t>
  </si>
  <si>
    <t>Arb. 05/2002</t>
  </si>
  <si>
    <t>Arb. 06/2002</t>
  </si>
  <si>
    <t>Arb. 07/2002</t>
  </si>
  <si>
    <t>Arb. 01/2003</t>
  </si>
  <si>
    <t>Arb. 02/2003</t>
  </si>
  <si>
    <t>Arb. 03/2003</t>
  </si>
  <si>
    <t>Arb. 01/2004</t>
  </si>
  <si>
    <t>Arb. 02/2004</t>
  </si>
  <si>
    <t>Arb. 03/2004</t>
  </si>
  <si>
    <t>Arb. 04/2004</t>
  </si>
  <si>
    <t>Arb. 05/2004</t>
  </si>
  <si>
    <t>Arb. 01/2005</t>
  </si>
  <si>
    <t>Arb. 02/2005</t>
  </si>
  <si>
    <t>Arb. 03/2005</t>
  </si>
  <si>
    <t>Arb. 08/2005</t>
  </si>
  <si>
    <t>Arb. 04/2005</t>
  </si>
  <si>
    <t>Arb. 05/2005</t>
  </si>
  <si>
    <t>Arb. 06/2005</t>
  </si>
  <si>
    <t>Arb. 07/2005</t>
  </si>
  <si>
    <t>Arb. 01/2006</t>
  </si>
  <si>
    <t>Arb. 02/2006</t>
  </si>
  <si>
    <t>Arb. 03/2006</t>
  </si>
  <si>
    <t>Arb. 04/2006</t>
  </si>
  <si>
    <t>Arb. 05/2006</t>
  </si>
  <si>
    <t>Arb. 06/2006</t>
  </si>
  <si>
    <t>Arb. 07/2006</t>
  </si>
  <si>
    <t>Arb. 08/2006</t>
  </si>
  <si>
    <t>Arb. 09/2006</t>
  </si>
  <si>
    <t>Arb. 10/2006</t>
  </si>
  <si>
    <t>Arb. 01/2007</t>
  </si>
  <si>
    <t>Arb. 02/2007</t>
  </si>
  <si>
    <t>Arb. 03/2007</t>
  </si>
  <si>
    <t>Arb. 04/2007</t>
  </si>
  <si>
    <t>Arb. 05/2007</t>
  </si>
  <si>
    <t>Arb. 06/2007</t>
  </si>
  <si>
    <t>Arb. 07/2007</t>
  </si>
  <si>
    <t>Arb. 08/2007</t>
  </si>
  <si>
    <t>Arb. 09/2007</t>
  </si>
  <si>
    <t>Arb. 10/2007</t>
  </si>
  <si>
    <t>Arb. 03/1999</t>
  </si>
  <si>
    <t>Arb.01/2010</t>
  </si>
  <si>
    <t>Arb.02/2010</t>
  </si>
  <si>
    <t>Arb.03/2010</t>
  </si>
  <si>
    <t>Arb.04/2010</t>
  </si>
  <si>
    <t>Arb. 05/2010</t>
  </si>
  <si>
    <t>Arb. 06/2010</t>
  </si>
  <si>
    <t>Arb. 07/2010</t>
  </si>
  <si>
    <t>Arb. 08/2010</t>
  </si>
  <si>
    <t>Arb. 11/2010</t>
  </si>
  <si>
    <t>Arb. 01/1994</t>
  </si>
  <si>
    <t>Arb. 04/2000</t>
  </si>
  <si>
    <t>Arb. 05/2000</t>
  </si>
  <si>
    <t>Arb. 08/2002</t>
  </si>
  <si>
    <t>Arb. 09/2002</t>
  </si>
  <si>
    <t>Arb. 06/2004</t>
  </si>
  <si>
    <t>Arb. 08/2004</t>
  </si>
  <si>
    <t>Arb. 07/2004</t>
  </si>
  <si>
    <t>Arb. 11/2006</t>
  </si>
  <si>
    <t>Arb. 01/1989</t>
  </si>
  <si>
    <t>Arb. 09/2004</t>
  </si>
  <si>
    <t>Arb. 11/2007</t>
  </si>
  <si>
    <t>Proc Nº</t>
  </si>
  <si>
    <t>Término/Situação</t>
  </si>
  <si>
    <t>ATUALIZAÇÃO MONETÁRIA DOS PROCESSOS DE ARBITRAGEM E MEDIAÇÕES</t>
  </si>
  <si>
    <t>CENTRO  DE  ARBITRAGENS  E  MEDIAÇÕES
CÂMARA DE COMÉRCIO BRASIL - CANADÁ
CAM/CCBC</t>
  </si>
  <si>
    <t>Arb. 09/2010</t>
  </si>
  <si>
    <t>Acordo</t>
  </si>
  <si>
    <t>Suspensa</t>
  </si>
  <si>
    <t>Encerrada</t>
  </si>
  <si>
    <t>Arb. 10/2010</t>
  </si>
  <si>
    <t>Arb. 12/2010</t>
  </si>
  <si>
    <t>Arb. 13/2010</t>
  </si>
  <si>
    <t>Outubro 2011</t>
  </si>
  <si>
    <t>Data</t>
  </si>
  <si>
    <t>Vr. Outra moeda</t>
  </si>
  <si>
    <t>Fator Conv</t>
  </si>
  <si>
    <t>VR. nominal - R$</t>
  </si>
  <si>
    <t>Vr. Corrigido - R$</t>
  </si>
  <si>
    <t>Encerrado</t>
  </si>
  <si>
    <t>TOTAL - 1988 E 1999</t>
  </si>
  <si>
    <t>TOTAL - 2.000</t>
  </si>
  <si>
    <t>TOTAL - 2.001</t>
  </si>
  <si>
    <t>TOTAL - 2.002</t>
  </si>
  <si>
    <t>TOTAL - 2.003</t>
  </si>
  <si>
    <t>TOTAL - 2.004</t>
  </si>
  <si>
    <t>TOTAL - 2.005</t>
  </si>
  <si>
    <t>TOTAL - 2.006</t>
  </si>
  <si>
    <t>Suspenso</t>
  </si>
  <si>
    <t>TOTAL - 2.007</t>
  </si>
  <si>
    <t>TOTAL - 2.008</t>
  </si>
  <si>
    <t>TOTAL - 2.009</t>
  </si>
  <si>
    <t>Arb. 14/2010</t>
  </si>
  <si>
    <t>Arb. 15/2010</t>
  </si>
  <si>
    <t>Arb. 16/2010</t>
  </si>
  <si>
    <t>Arb. 17/2010</t>
  </si>
  <si>
    <t>Arb. 18/2010</t>
  </si>
  <si>
    <t>Arb. 19/2010</t>
  </si>
  <si>
    <t>Arb. 20/2010</t>
  </si>
  <si>
    <t>Arb. 21/2010</t>
  </si>
  <si>
    <t>Arb. 22/2010</t>
  </si>
  <si>
    <t>Arb. 23/2010</t>
  </si>
  <si>
    <t>Arb. 24/2010</t>
  </si>
  <si>
    <t>Arb. 25/2010</t>
  </si>
  <si>
    <t>Arb. 26/2010</t>
  </si>
  <si>
    <t>Arb. 27/2010</t>
  </si>
  <si>
    <t>Arb. 28/2010</t>
  </si>
  <si>
    <t>Arb. 29/2010</t>
  </si>
  <si>
    <t>Arb. 30/2010</t>
  </si>
  <si>
    <t>Arb. 31/2010</t>
  </si>
  <si>
    <t>Arb. 32/2010</t>
  </si>
  <si>
    <t>Arb. 33/2010</t>
  </si>
  <si>
    <t>Arb. 34/2010</t>
  </si>
  <si>
    <t>Arb. 35/2010</t>
  </si>
  <si>
    <t>Arb. 36/2010</t>
  </si>
  <si>
    <t>Arb. 37/2010</t>
  </si>
  <si>
    <t>Arb. 38/2010</t>
  </si>
  <si>
    <t>Arb. 39/2010</t>
  </si>
  <si>
    <t>Arb. 40/2010</t>
  </si>
  <si>
    <t>Arb. 41/2010</t>
  </si>
  <si>
    <t>Arb. 42/2010</t>
  </si>
  <si>
    <t>Arb. 43/2010</t>
  </si>
  <si>
    <t>Arb. 44/2010</t>
  </si>
  <si>
    <t>Arb. 45/2010</t>
  </si>
  <si>
    <t>Arb. 46/2010</t>
  </si>
  <si>
    <t>Arb. 47/2010</t>
  </si>
  <si>
    <t>Arb. 48/2010</t>
  </si>
  <si>
    <t>TOTAL - 2.010</t>
  </si>
  <si>
    <t>Arb. 1/2011</t>
  </si>
  <si>
    <t>Arb. 2/2011</t>
  </si>
  <si>
    <t>Arb. 3/2011</t>
  </si>
  <si>
    <t>Arb. 4/2011</t>
  </si>
  <si>
    <t>Arb. 5/2011</t>
  </si>
  <si>
    <t>Arb. 6/2011</t>
  </si>
  <si>
    <r>
      <t xml:space="preserve">Arb. </t>
    </r>
    <r>
      <rPr>
        <i/>
        <sz val="8"/>
        <rFont val="Calibri"/>
        <family val="2"/>
      </rPr>
      <t>7/2011</t>
    </r>
  </si>
  <si>
    <t>Arb. 8/2011</t>
  </si>
  <si>
    <t>Arb. 9/2011</t>
  </si>
  <si>
    <t>Arb. 10/2011</t>
  </si>
  <si>
    <t>Arb. 11/2011</t>
  </si>
  <si>
    <t>Arb. 12/2011</t>
  </si>
  <si>
    <t>Arb. 13/2011</t>
  </si>
  <si>
    <t>Arb. 14/2011</t>
  </si>
  <si>
    <t>Arb. 15/2011</t>
  </si>
  <si>
    <t>Arb. 16/2011</t>
  </si>
  <si>
    <t>Arb. 17/2011</t>
  </si>
  <si>
    <t>Arb. 18/2011</t>
  </si>
  <si>
    <t>Arb. 19/2011</t>
  </si>
  <si>
    <t>Arb. 20/2011</t>
  </si>
  <si>
    <t>Arb. 21/2011</t>
  </si>
  <si>
    <t>Arb. 22/2011</t>
  </si>
  <si>
    <t>Arb. 23/2011</t>
  </si>
  <si>
    <t>Arb. 24/2011</t>
  </si>
  <si>
    <t>Arb. 25/2011</t>
  </si>
  <si>
    <t>16.06.2011</t>
  </si>
  <si>
    <t>Arb. 26/2011</t>
  </si>
  <si>
    <t>Arb. 27/2011</t>
  </si>
  <si>
    <t>Arb. 28/2011</t>
  </si>
  <si>
    <t>Arb. 29/2011</t>
  </si>
  <si>
    <t>Arb. 30/2011</t>
  </si>
  <si>
    <t>Arb. 31/2011</t>
  </si>
  <si>
    <t>Arb. 32/2011</t>
  </si>
  <si>
    <t>Arb. 33/2011</t>
  </si>
  <si>
    <t>Arb. 34/2011</t>
  </si>
  <si>
    <t>Arb. 35/2011</t>
  </si>
  <si>
    <t>Arb. 36/2011</t>
  </si>
  <si>
    <t>Arb. 37/2011</t>
  </si>
  <si>
    <t>Arb. 38/2011</t>
  </si>
  <si>
    <t>Arb. 39/2011</t>
  </si>
  <si>
    <t>Arb. 40/2011</t>
  </si>
  <si>
    <t>Arb. 41/2011</t>
  </si>
  <si>
    <t>Arb. 42/2011</t>
  </si>
  <si>
    <t>Arb. 43/2011</t>
  </si>
  <si>
    <t>Arb. 44/2011</t>
  </si>
  <si>
    <t>Arb. 45/2011</t>
  </si>
  <si>
    <t>Arb. 46/2011</t>
  </si>
  <si>
    <t>Arb. 47/2011</t>
  </si>
  <si>
    <t>Arb. 48/2011</t>
  </si>
  <si>
    <t>Arb. 49/2011</t>
  </si>
  <si>
    <t>Arb. 50/2011</t>
  </si>
  <si>
    <t>TOTAL - 2.011</t>
  </si>
  <si>
    <t>TOTAL GERAL - OUTUBRO/2011</t>
  </si>
  <si>
    <t>Arb. 06/1999</t>
  </si>
  <si>
    <t>Consolidation of Claims</t>
  </si>
  <si>
    <t>Desistencia ou Não iniciada</t>
  </si>
  <si>
    <t>suspenso</t>
  </si>
  <si>
    <t>Suspenso (não cobrar)</t>
  </si>
  <si>
    <t>Em andamento (aguardando liberação de decisão - Não Cobrar)</t>
  </si>
  <si>
    <t>Suspensa (por ordem judicial)</t>
  </si>
  <si>
    <t>Suspensa (não cobrar)</t>
  </si>
  <si>
    <t>Encerrado / Acordo</t>
  </si>
  <si>
    <t>Encerrada/ falta parte pagar os 50% dos honor. Minim. Dos árbitros</t>
  </si>
  <si>
    <t>Em andamento (não cobrar custas)</t>
  </si>
  <si>
    <t>Encerrada/ Acordo</t>
  </si>
  <si>
    <t>em andamento</t>
  </si>
  <si>
    <t>Encerrada / Acordo</t>
  </si>
  <si>
    <t xml:space="preserve">Em andamento/ pendente de pagto/ não cobrar a partir de </t>
  </si>
  <si>
    <t>Encerrada por acordo</t>
  </si>
  <si>
    <t>n</t>
  </si>
  <si>
    <t>Proc. Arb.</t>
  </si>
  <si>
    <t>nº</t>
  </si>
  <si>
    <t>Ano de Início</t>
  </si>
  <si>
    <t>Outras moedas</t>
  </si>
  <si>
    <t>Conversão</t>
  </si>
  <si>
    <t>Valores em Reais</t>
  </si>
  <si>
    <t>Valor R$
compilado</t>
  </si>
  <si>
    <t>IGPM Acumulado</t>
  </si>
  <si>
    <t>Valor Corrigido</t>
  </si>
  <si>
    <t>Início.</t>
  </si>
  <si>
    <t>Instauração</t>
  </si>
  <si>
    <t>Término</t>
  </si>
  <si>
    <t>Situação</t>
  </si>
  <si>
    <t>Duração dias</t>
  </si>
  <si>
    <t>Coord.</t>
  </si>
  <si>
    <t>Superv.</t>
  </si>
  <si>
    <t>Prazo</t>
  </si>
  <si>
    <t>Providência</t>
  </si>
  <si>
    <t>Observações</t>
  </si>
  <si>
    <t>Controle Secretaria</t>
  </si>
  <si>
    <t>Escrever o dia de Hoje do Lado esquerdo</t>
  </si>
  <si>
    <t>Arb.</t>
  </si>
  <si>
    <t>s/n</t>
  </si>
  <si>
    <t>613557,04 (OTN)</t>
  </si>
  <si>
    <t xml:space="preserve">Arb. </t>
  </si>
  <si>
    <t>30/02/1999</t>
  </si>
  <si>
    <t>30/02/2000</t>
  </si>
  <si>
    <t>30/02/2001</t>
  </si>
  <si>
    <t>30/02/2003</t>
  </si>
  <si>
    <t>30/02/2004</t>
  </si>
  <si>
    <t>THIAGO</t>
  </si>
  <si>
    <t>CAROLINE</t>
  </si>
  <si>
    <t>III - prazo dos árbitros</t>
  </si>
  <si>
    <t>Novo pedido de esclarecimentos dos Requeridos, e, pedido de esclarecimentos com efeito modificatico pela Requerente.</t>
  </si>
  <si>
    <t>Atualizado em 08.08.2011</t>
  </si>
  <si>
    <t>I- prazo da secretaria</t>
  </si>
  <si>
    <t>Prazo para encaminhar TI aos árbitros</t>
  </si>
  <si>
    <t>Atualizado em 24.10.2011</t>
  </si>
  <si>
    <t xml:space="preserve">Sentença Arbitral protocolizada em 25/08/2011 - Aguardando regularização de pendências financeiras - a AES ainda não pagou o valor de R$ 77.400,00 ref.  (venc 17.09.2011 aos honorários excedentes </t>
  </si>
  <si>
    <t>Atualizado em 17.10.2011</t>
  </si>
  <si>
    <t>Manifestar sobre pedido de dilação de resposta do perito</t>
  </si>
  <si>
    <t>II - prazo das partes</t>
  </si>
  <si>
    <t>Procedimento Suspenso OP 39/11. Aguardando pagamento de valores em aberto.</t>
  </si>
  <si>
    <t>24.10.2011 o prazo para que as partes se manifestem sobre o laudo complementar do Perito.</t>
  </si>
  <si>
    <t>VI - prazo do perito</t>
  </si>
  <si>
    <t>Entrega Laudo Pericial</t>
  </si>
  <si>
    <t>Resposta ao pedido de esclarecimentos da Requerida por parte do Tribunal</t>
  </si>
  <si>
    <t>Atualizado em 14.06.2011</t>
  </si>
  <si>
    <t>Sentença Arbitral foi recebida pelas Partes e não houve pedido de esclarecimentos</t>
  </si>
  <si>
    <t>Atualizado em 25.07.2011</t>
  </si>
  <si>
    <t>SILVIA</t>
  </si>
  <si>
    <t xml:space="preserve">III- prazo dos árbitros </t>
  </si>
  <si>
    <t xml:space="preserve"> Aguardando deliberação do Tribunal sobre os Pedidos de Esclarecimentos das Partes</t>
  </si>
  <si>
    <t>Relatórios Financeiro Final enviado em 12.09.2011.</t>
  </si>
  <si>
    <t>Aguardando regularização de pendência financeira sobre honorários excedentes, para envio da Resposta ao Pedido de Esclarecimentos.</t>
  </si>
  <si>
    <t>Atualizado em 26.09.2011</t>
  </si>
  <si>
    <t>Aguardando deliberação do Tribunal sobre as  manifestações das Partes sobre a prova pericial.</t>
  </si>
  <si>
    <t>I - prazo da Secretaria</t>
  </si>
  <si>
    <t xml:space="preserve">resposta ao pedido de esclarecimento à sentença arbitral enviada às partes em 09/11/2010- </t>
  </si>
  <si>
    <t>Atualizado em 04.07.201</t>
  </si>
  <si>
    <t>II - prazo das partes e III - prazo dos árbitros</t>
  </si>
  <si>
    <t>O Tribunal Arbitral irá proferir Sentença Arbitral</t>
  </si>
  <si>
    <t>Aguardando eventual manifestação das partes, tendo em vista última decisão 17.10.2011</t>
  </si>
  <si>
    <t>set. parc. Prol. Em 18/fev. 2011</t>
  </si>
  <si>
    <t>Prazo para Sentença</t>
  </si>
  <si>
    <t>II - prazo das partes, III - prazo dos árbitros</t>
  </si>
  <si>
    <t>Audiência oitiva técnica em 23.11.2011</t>
  </si>
  <si>
    <t>Alegações Finais</t>
  </si>
  <si>
    <t>II - prazo dos árbitros</t>
  </si>
  <si>
    <t>Ref:. Sentença Arbitral protocolizada em 14.10.2011
Aguardando pagamento de honorários excedentes para liberação.</t>
  </si>
  <si>
    <t>Aguardando regularização pelas Partes das pendências financeiras, para liberação da resposta ao pedido de esclarecimentos.</t>
  </si>
  <si>
    <t xml:space="preserve"> Maurício já entregou relatório de custas</t>
  </si>
  <si>
    <t>Atualizado em 23.05.2011</t>
  </si>
  <si>
    <t>O Árbitro único irá proferir Sentença Arbitral</t>
  </si>
  <si>
    <t>II - prazo Partes</t>
  </si>
  <si>
    <t>prolatada sentença homologatória de acordo</t>
  </si>
  <si>
    <t>18.05.2011</t>
  </si>
  <si>
    <t>I- Prazo da Secretaria Financeira</t>
  </si>
  <si>
    <t>Falta Maurício enviar ás Partes o Relatório de Custas</t>
  </si>
  <si>
    <t>Atualizado em 30.05.2011</t>
  </si>
  <si>
    <t>Suspenso até o total adimplemento cf. Ata de 09.09.2011 e Despacho  do Presidente do Tribunal Arbitral de20.10.2011</t>
  </si>
  <si>
    <t>Análise da petição da Requerida protocolizada em 03.11.2010</t>
  </si>
  <si>
    <t>prazo para as Partes apresentarem suas Alegações Iniciais</t>
  </si>
  <si>
    <t>OP nº 1 protocolizada em 11/05/2010 suspendeu o procedimento arbitra por pendência financeira, foi checado o status em 5.8.2011 constou valores em aberto.</t>
  </si>
  <si>
    <t>não há prazo - trânsito em julgado.</t>
  </si>
  <si>
    <t>Enviamos às PARTES, Decisão dos 2ºs Embargos de Declaração, por parte do Dr. Nery, interposto pela TOPSPORT.</t>
  </si>
  <si>
    <t>Decisão sobre o pedido de esclarecimentos da Requerente</t>
  </si>
  <si>
    <t>esclarecimentos das partes conforme op nº 20.</t>
  </si>
  <si>
    <t>IV - prazo do perito</t>
  </si>
  <si>
    <t>prazo para apresentação do laudo pericial/ problemas com pagtos dos honorários excedentes dos árbitros, requeridas não pagaram, pedi ao Maurício que cobre com urgência</t>
  </si>
  <si>
    <t>encerrada por sentença homologatória de acordo</t>
  </si>
  <si>
    <t>prazo para que o Tribunal delibere sobre as manifestações das Partes</t>
  </si>
  <si>
    <t>Prazo para o Tribunal despachar por OP os demais andamentos processuais</t>
  </si>
  <si>
    <t>Prazo para que o Tribunal delibere acerca dos demais andamentos processuais</t>
  </si>
  <si>
    <t>acompanhe os trabalhos periciais.</t>
  </si>
  <si>
    <t xml:space="preserve">A Sentença Arbitral foi protocolizada em 20.09.2011, estamos aguardando pagamento de honorários excedentes pelas Partes.  </t>
  </si>
  <si>
    <t>I - da Secretaria (Depto Financeiro)</t>
  </si>
  <si>
    <t>Prazo para entrega relatório Financeiro Final</t>
  </si>
  <si>
    <t>prazo para que as Partes apresentem suas Alegações Finais</t>
  </si>
  <si>
    <t>Sentença Arbitral</t>
  </si>
  <si>
    <t>Prazo para que o Tribunal  determine o encerramento da instrução</t>
  </si>
  <si>
    <t>O Procedimento foi extinto devido a petição conjunta apreciada pelo Presidente deste Centro</t>
  </si>
  <si>
    <t>sentença prof. Em 04.03.2011</t>
  </si>
  <si>
    <t>OP em resposta ao pedido de esclarecimentos das Partes suspende por 180 dias o procedimento para após finda a suspensão, voltar a correr prazo para pedido de esclarecimentos e exigibilidade da sentença</t>
  </si>
  <si>
    <t>prazo para que o Tribunal por OP delibere o escopo e limite dos quesitos a perita</t>
  </si>
  <si>
    <t>Sentença Homologatória de Acordo</t>
  </si>
  <si>
    <t>Atualizado em 01.08.2011</t>
  </si>
  <si>
    <t xml:space="preserve">Sentença Homologatória proferida em 10 de agosto de 2011- Maurício orientado a fornecer relatório de custas em 10 dias </t>
  </si>
  <si>
    <t>Atualizado em 15.08.2011</t>
  </si>
  <si>
    <t>Aguardando sobre prosseguimento do feito</t>
  </si>
  <si>
    <t>OP nº 6 - Decide suspender o procedimento arbitral, até que as Partes, ou qualquer uma delas provisionem com os depósitos faltantes.</t>
  </si>
  <si>
    <t>prazo para que o tribunal delibere sobre o contrato sigiloso encaminhado pelo Requerido somente ao Tribunal arbitral</t>
  </si>
  <si>
    <t xml:space="preserve">Aguardando informações sobre honorários excedentes </t>
  </si>
  <si>
    <t>valor a ser apurado</t>
  </si>
  <si>
    <t>12.05.2011</t>
  </si>
  <si>
    <t xml:space="preserve">I- Secretaria Administrativa </t>
  </si>
  <si>
    <t>Maurício já recebeu instrução para preparo do relatório de custas</t>
  </si>
  <si>
    <t>prazo para que o Tribunal delibere sobre produção de provas</t>
  </si>
  <si>
    <t>Parte Requerente desistiu dos pedidos de esclarecimentos. Tribunal por OP nº 11 considerou encerrada sua jurisdição. Presidente do Centro respondeu questionamento da Parte Requerente pedindo demonstrativo de gasto de horas pelo Tribunal informando que não irá fornece-lo e sequer fornecerá relatório de custas até que partes cumpram com sua obrigação</t>
  </si>
  <si>
    <t>Atualizado em 11.07.2011</t>
  </si>
  <si>
    <t>As Partes apresentarão correções às notas estenográficas, das audiências de 28/09/2011 e de 17/10/2011.</t>
  </si>
  <si>
    <t>Regularização da parte financeira para que possamos liberar sentença homologatória. Ratificada a obrigação por Despacho do Presidente do Centro de 10.10.2011</t>
  </si>
  <si>
    <t>23.09.2011</t>
  </si>
  <si>
    <t>Partes receberam pedidos de esclarecimentos/ Maurício foi informado a preparar relatório de custas em 30 dias</t>
  </si>
  <si>
    <t>Prolação da Sentença Arbitral</t>
  </si>
  <si>
    <t>13.04.2011</t>
  </si>
  <si>
    <t>Sentença Homologatória de Acordo/ partes pagaram as horas do Tribunal e custas da Câmara e receberam a sent.</t>
  </si>
  <si>
    <t>Obrigação de Fazer</t>
  </si>
  <si>
    <t>Deferir novo pedido de suspensão do procedimento por 90 dias e determinar que as Partes, caso não obtenham exito nas tratativas de acordo, apresente róis de testemunhas até o dia 27 de outubro de 2011.</t>
  </si>
  <si>
    <t xml:space="preserve"> II- prazo das partes eIII - prazo dos árbitros</t>
  </si>
  <si>
    <t>OP 03/11  definiu data para Audiência de instrução</t>
  </si>
  <si>
    <t>audiência de instrução</t>
  </si>
  <si>
    <t xml:space="preserve"> II - prazo das partes</t>
  </si>
  <si>
    <t>Em 11.11.2011 as partes apresentarão eventuais correções relevantes sobre as transcrições dos depoimentos da audiência de oitiva 29 e 30 de setembro de 2011</t>
  </si>
  <si>
    <t>Unificada com a Arb. 29.2010</t>
  </si>
  <si>
    <t>Tréplicas às Alegações Iniciais</t>
  </si>
  <si>
    <t xml:space="preserve">v - prazo do perito </t>
  </si>
  <si>
    <t>Perito enviará Termo de Confidencialidade, proposta de honorários e prazo para o laudo pericial</t>
  </si>
  <si>
    <t>valor indeterminado</t>
  </si>
  <si>
    <t>Até o dia 28 de outubro de 2011, as Requerentes disponibilizarão para os Requeridos os balanços de 2008 e 2009 e o detalhamento de despesas relativo aos exercícios de 2008, 2009 e 2010</t>
  </si>
  <si>
    <t>determinar que as partes informem ao Tribunal Arbitral a data em que a documentação foi recebida pela Reqda</t>
  </si>
  <si>
    <t>indeterminado</t>
  </si>
  <si>
    <t>OP nº 06 defere o pedido da Requerida, autorizando-a a retirar do depósito em caução feito na conta de poupança, o valor para quitar as pendências financeiras da Requerente.</t>
  </si>
  <si>
    <t>Aguardando deliberação do Tribunal sobre as  manifestações dos Requeridos.</t>
  </si>
  <si>
    <t>17 e 18/11/2011</t>
  </si>
  <si>
    <t>II - prazo das partes e III- prazo dos árbitros</t>
  </si>
  <si>
    <t>Audiência de oitiva</t>
  </si>
  <si>
    <t>Consolidado com o procedimento 37/2010 através de despacho do Presidente do Centrto datado de 17.12.2010</t>
  </si>
  <si>
    <t>Despacho do Presidente extingue o procedimento- fatura enviada para a Parte conforme orientação da petição das Partes, em 25 de março</t>
  </si>
  <si>
    <t>Consolidado com o procedimento 39/2010 através de despacho do Presidente do Centrto datado de 31/01/2011.</t>
  </si>
  <si>
    <t>V- prazo do perito</t>
  </si>
  <si>
    <t>para a apresentação do laudo pericial</t>
  </si>
  <si>
    <t>Aguardando deliberação do Tribunal sobre manifestação da Requerente sobre fato novo.</t>
  </si>
  <si>
    <t>I - prazo do presidente</t>
  </si>
  <si>
    <t>Aguardando Despacho do Presidente do Centro para prosseguimento do feito</t>
  </si>
  <si>
    <t>21 e 22/09/2011</t>
  </si>
  <si>
    <t xml:space="preserve">data designada para a  audiência de instrução </t>
  </si>
  <si>
    <t>Fim dos prazos dispostos no TA, aguardando Tribunal se pronunciar a respeito do prossegumento da instrução</t>
  </si>
  <si>
    <t>11 e 12/11/2011</t>
  </si>
  <si>
    <t xml:space="preserve"> audiência de instrução para os dias 10 e 11 de novembro de 211</t>
  </si>
  <si>
    <t>Despacho do Presidente do Centro em 14.06.2011 extinguiu o procedimento. (Acordo entre as partes).</t>
  </si>
  <si>
    <t>Atualizado em 11.07.201</t>
  </si>
  <si>
    <t>01.04.2011</t>
  </si>
  <si>
    <t>Acordo em petição conjunta, Op nº 1 extinguiu o procedimento, Maurício cobrou da ADM e do Flavio Bauer o valor aberto- falta verificar se Partes fizeram aportes para o pagtoda 30 hs dos árbitros</t>
  </si>
  <si>
    <t>US$20.000.000,00</t>
  </si>
  <si>
    <t>prazo para que o Tribunal se manifeste sobre as manifestações das Partes pós audiência de instrução</t>
  </si>
  <si>
    <t>31/11/2011</t>
  </si>
  <si>
    <t>Audiência de Oitiva</t>
  </si>
  <si>
    <t>prazo para que as partes consolidem o teor da minuta de TA entre si para que a minuta seja cricularizada ou agendamento da data de reunião de assinatura de TA</t>
  </si>
  <si>
    <t>Consolidou com a Arb. 38/2010</t>
  </si>
  <si>
    <t>Aguardando deliberação do Tribunal sobre manifestação dos Requeridos sobre a Réplica da Requerente.</t>
  </si>
  <si>
    <t>As Requerentes apresentarão sua réplica à Resposta da Reconvenção</t>
  </si>
  <si>
    <t>Prazo Requerida recolha as custas do incidente de remoção (cf. Despacho do Presidente do Centro de 10.10.2011.</t>
  </si>
  <si>
    <t>Tréplicas das Partes</t>
  </si>
  <si>
    <t>REquerida apresentará Tréplica</t>
  </si>
  <si>
    <t>Requerida enviou comprovante de pagamento relativo às custa administrativas. Aguardando deliberação do Presidente do Centro.</t>
  </si>
  <si>
    <t>Aguardando que o Tribunal delibere por Ordem Processusal data para Reunião de assinatura do Termo de Arbitragem</t>
  </si>
  <si>
    <t>11.08.2011</t>
  </si>
  <si>
    <t>aguarda pagamento pela Maternidade dos honorários mínimos para que Secretaria informe ao Tribunal que pode enviar a sentença homologatória</t>
  </si>
  <si>
    <t>II -prazo das partes e III - prazo dos árbitros</t>
  </si>
  <si>
    <t>Audiência de assinatura de Termo de Arbitragem</t>
  </si>
  <si>
    <t>As Requerentes apresentarão Alegações Iniciais.</t>
  </si>
  <si>
    <t>As Partes apresentarão Réplica</t>
  </si>
  <si>
    <t>audiência de assinatura de TA/ minuta do termo já enviada por e-mail</t>
  </si>
  <si>
    <t>V - prazo da presidência</t>
  </si>
  <si>
    <t>Aguardando deliberação do Dr. Straube sobre Petição dos Requerentes em resposta à manifestação dos Requeridos, protocolizada em 25.07.2011.</t>
  </si>
  <si>
    <t>prazo para que as partes paguem conforme fatura enviada pelo setor financeiro os valores informados no despacho do presidente do centro/ pende de encarramento de processo</t>
  </si>
  <si>
    <t>II -prazo das partes</t>
  </si>
  <si>
    <t>Indicação de co-árbitros (cf Despacho do Presidente do Centro de 03.10.2011.</t>
  </si>
  <si>
    <t>data final para que o Tribunal reagende a reunião de assinatura de TA</t>
  </si>
  <si>
    <t>03/11/2011- as requeridas apresentarã resposta às alegações iniciais</t>
  </si>
  <si>
    <t>prazo para o presidente agendar reunião de assinatura de TA</t>
  </si>
  <si>
    <t xml:space="preserve"> III - prazo dos árbitros</t>
  </si>
  <si>
    <t>Agendar audiência de assinatura de Termo de Arbitragem</t>
  </si>
  <si>
    <t>pré-agendamento pelo Prof. Marcelo Huck de audiência de assinatura de TA pendente de confirmação para 11 de novembro de 2011</t>
  </si>
  <si>
    <t>Falta maurício me informar quando a Reqte arcou com os 4 mil devidos pela Requerida</t>
  </si>
  <si>
    <t>Atualizado em 05.09.2011</t>
  </si>
  <si>
    <t>Agendar audiência de assinatura de Termo de Arbitragem. Aguardando Tribunal se pronunciar sobre petição da Requerida protocolizada em 18.11.2011</t>
  </si>
  <si>
    <t>indicação coarbitro</t>
  </si>
  <si>
    <t>Atualizado em 22.08.2011</t>
  </si>
  <si>
    <t>aguarda que partes se manifestem sobre revelações feitas pelo co-árbitro Calixto Salomão</t>
  </si>
  <si>
    <t>V-prazo do presidente</t>
  </si>
  <si>
    <t>secretaria avisou ao presidente que uma parte não foi notificada sequer por cartório e aguarda info de como proceder</t>
  </si>
  <si>
    <t>prazo para que o Tribunal agende data de assinatura de TA</t>
  </si>
  <si>
    <t>03/11//2011</t>
  </si>
  <si>
    <t>Prazo para as Partes se manifestar sobre Despacho Dr. Straube de (identidade de indicações Dr. Marcelo Huck) 10.10.2011</t>
  </si>
  <si>
    <t>Prazo para o árbitro presidente assinar os Tis</t>
  </si>
  <si>
    <t>prazo para que as partes indiquem co-árbitros</t>
  </si>
  <si>
    <t>SÍLVIA</t>
  </si>
  <si>
    <t>prazo para que as partes indiquem coárbitros</t>
  </si>
  <si>
    <t>SÌLVIA</t>
  </si>
  <si>
    <t>Arb. 15/2006</t>
  </si>
  <si>
    <t>Arb. 04/2003</t>
  </si>
  <si>
    <t>Arb. 05/2003</t>
  </si>
  <si>
    <t>Arb. 10/2004</t>
  </si>
  <si>
    <t>Arb. 11/2004</t>
  </si>
  <si>
    <t>Arb. 12/2005</t>
  </si>
  <si>
    <t>Arb. 13/2005</t>
  </si>
  <si>
    <t>Desistência ou não iniciada</t>
  </si>
  <si>
    <t>Consolidation of claims</t>
  </si>
  <si>
    <t>Arbitro</t>
  </si>
  <si>
    <t>Freq</t>
  </si>
  <si>
    <t>Média</t>
  </si>
  <si>
    <t>&gt;500000000</t>
  </si>
  <si>
    <t>Minimo</t>
  </si>
  <si>
    <t>Máximo</t>
  </si>
  <si>
    <t xml:space="preserve">Faixas </t>
  </si>
  <si>
    <t>Honorários de árbitro</t>
  </si>
  <si>
    <t>Despesas Administrativas</t>
  </si>
  <si>
    <t>Fixo + % da Diferença</t>
  </si>
  <si>
    <t>Valor da disputa</t>
  </si>
  <si>
    <t>Mínimo</t>
  </si>
  <si>
    <t>N° Horas</t>
  </si>
  <si>
    <t>VR Hora</t>
  </si>
  <si>
    <t>Simulação</t>
  </si>
  <si>
    <t xml:space="preserve">Custas </t>
  </si>
  <si>
    <t>Árbitro</t>
  </si>
  <si>
    <t>ICC</t>
  </si>
  <si>
    <t>CAN/CCBC</t>
  </si>
  <si>
    <t>Total</t>
  </si>
  <si>
    <t>Vr Disputa</t>
  </si>
  <si>
    <t>R$500,00</t>
  </si>
  <si>
    <t>Comparativo em qte horas atual</t>
  </si>
  <si>
    <t>(Max+Min) x 60%</t>
  </si>
  <si>
    <t>Honorários do Árbitro em R$</t>
  </si>
  <si>
    <t>Valor da Disputa</t>
  </si>
  <si>
    <t>A tabela de despesas administrativas, adotou-se a remuneração por um percentual do valor da disputa, tendo R$2.000,00 como valor inicial.</t>
  </si>
  <si>
    <t>Valores em R$ - Para comparação com ICC foi utilizado o parametro U$1,00 = R$1,80. Até 7,5 milhoes a remuneração do Árbitro é por hora, variando de 450 a 650 por hora. Após esta faixa, o valor inicial equivale a 230 horas x 650, adotando-se a partir desta faixa a remuneração por percentual do valor da disputa.</t>
  </si>
  <si>
    <t>custas - CCI</t>
  </si>
  <si>
    <t>arbrito - CCI</t>
  </si>
  <si>
    <t>arbrito - CBC</t>
  </si>
  <si>
    <t>custas - CBC</t>
  </si>
  <si>
    <t>TABELA DE HONORÁRIOS</t>
  </si>
  <si>
    <t>Faixa</t>
  </si>
  <si>
    <t>Fator Fixo</t>
  </si>
  <si>
    <t>Percentual sobre o que exceder o valor máximo da faixa anterior</t>
  </si>
  <si>
    <t>Valor máximo de honorários nessa faixa</t>
  </si>
  <si>
    <t>De</t>
  </si>
  <si>
    <t>Até</t>
  </si>
  <si>
    <t>xxx</t>
  </si>
  <si>
    <t>Até o máximo de R$ 500.000</t>
  </si>
  <si>
    <t>TABELA DE CUSTAS</t>
  </si>
  <si>
    <t>xx</t>
  </si>
  <si>
    <t>Até o máximo de R$ 200.000</t>
  </si>
  <si>
    <t xml:space="preserve">COST CALCULATOR </t>
  </si>
  <si>
    <t>Valor do Litígio</t>
  </si>
  <si>
    <t>Valor das custas</t>
  </si>
  <si>
    <t>Árbitro único</t>
  </si>
  <si>
    <t>Có-árbitro</t>
  </si>
  <si>
    <t>Árbitro presidente</t>
  </si>
  <si>
    <t>Total três árbitros</t>
  </si>
  <si>
    <t>&gt;500000001</t>
  </si>
  <si>
    <t>Custas</t>
  </si>
  <si>
    <t xml:space="preserve">CÁLCULO </t>
  </si>
  <si>
    <t>Diferença</t>
  </si>
  <si>
    <t>Por hora</t>
  </si>
  <si>
    <t>3 árbitros</t>
  </si>
  <si>
    <t>por hora</t>
  </si>
  <si>
    <t>Simulação valores em R$</t>
  </si>
  <si>
    <t>CCI 70%</t>
  </si>
  <si>
    <t>Dolar</t>
  </si>
  <si>
    <t>CCBC 30%</t>
  </si>
  <si>
    <t>Matriz</t>
  </si>
  <si>
    <t>CCBC 100</t>
  </si>
  <si>
    <t>CCBC 25%</t>
  </si>
  <si>
    <t>CCBC 20%</t>
  </si>
  <si>
    <t>R$</t>
  </si>
  <si>
    <t>Vr Hora</t>
  </si>
  <si>
    <t>mínimo</t>
  </si>
  <si>
    <t>máximo</t>
  </si>
  <si>
    <t>Presidente</t>
  </si>
  <si>
    <t>Valores em R$ - CotaçãoUS$1,80. Até 9 milhoes a remuneração do Árbitro é por hora, variando de 450 a 650 por hora. Após esta faixa, o valor inicial equivale a 230 horas x 650, adotando-se a partir desta faixa a remuneração por percentual do valor da disputa.</t>
  </si>
  <si>
    <t>meses</t>
  </si>
  <si>
    <t>Despesa por hora - Valor da Disputa até 18 milhões</t>
  </si>
  <si>
    <t>Despesa em percentual -  Valor da Disputa acima de 18 milhões</t>
  </si>
  <si>
    <t>Valor base da Disputa</t>
  </si>
  <si>
    <t>único</t>
  </si>
  <si>
    <t>Tribunal Arbitral</t>
  </si>
  <si>
    <t>Árbitro Único</t>
  </si>
  <si>
    <t>TOTAL</t>
  </si>
  <si>
    <t>Honorários do Árbitro</t>
  </si>
  <si>
    <t>Custos</t>
  </si>
  <si>
    <t>Taxa de Registro</t>
  </si>
  <si>
    <t>Taxa de Administração</t>
  </si>
  <si>
    <t xml:space="preserve">Total </t>
  </si>
  <si>
    <t>Taxa Administração</t>
  </si>
  <si>
    <t>Valor estimado</t>
  </si>
  <si>
    <t>Taxa Adm.</t>
  </si>
  <si>
    <t>Honorarios Arbitro</t>
  </si>
  <si>
    <t>Honorarios</t>
  </si>
  <si>
    <t>Formula Tx Adm</t>
  </si>
  <si>
    <t>Formula Hon</t>
  </si>
  <si>
    <t>Inserir o 
Valor da disputa</t>
  </si>
  <si>
    <t>Simulador de Custos e Honorários de Arbitragem Expedita</t>
  </si>
  <si>
    <t>Taxa Reg</t>
  </si>
  <si>
    <t>Formula Tx Reg</t>
  </si>
  <si>
    <t>Ate Limite</t>
  </si>
  <si>
    <t>Hora</t>
  </si>
  <si>
    <t>Minino 20 horas</t>
  </si>
  <si>
    <t>demais  por hora</t>
  </si>
  <si>
    <t>Simulador de Custos e Honorários de Mediação</t>
  </si>
  <si>
    <t>Taxa Adm. 
1% Valor Estimado</t>
  </si>
  <si>
    <t>Mediação</t>
  </si>
  <si>
    <t>Valor  da causa mínimo</t>
  </si>
  <si>
    <t>Valor da causa Máximo</t>
  </si>
  <si>
    <t>de R$ 500 a R$  600 
por Hora</t>
  </si>
  <si>
    <t>a partir de</t>
  </si>
  <si>
    <t>Valor da Causa Mínimo</t>
  </si>
  <si>
    <t>Valor da Causa Máximo</t>
  </si>
  <si>
    <t>Valor Taxa Administração</t>
  </si>
  <si>
    <t xml:space="preserve">a partir de </t>
  </si>
  <si>
    <t>Fórmula Honorários</t>
  </si>
  <si>
    <t>Fórmula Adicional Taxa de Administração</t>
  </si>
  <si>
    <t>Minino 5 Horas</t>
  </si>
  <si>
    <t>Simulador de Custos e Honorários de Arbitragem de Emergência</t>
  </si>
  <si>
    <t>Inserir previsão
Total Horas Árbitro</t>
  </si>
  <si>
    <t>R$  600 
por Hora</t>
  </si>
  <si>
    <t xml:space="preserve">Custos </t>
  </si>
  <si>
    <t>Simulador de Custos de Mediação e Arbitragem</t>
  </si>
  <si>
    <t>Arbitragem Expedita</t>
  </si>
  <si>
    <t>Arbitragem Ordinária</t>
  </si>
  <si>
    <t>Arbitragem de Emergência</t>
  </si>
  <si>
    <t>Limite de valor:  até R$ 500.000,00</t>
  </si>
  <si>
    <t>Limite de valor: acima de R$ 500.000,01</t>
  </si>
  <si>
    <t xml:space="preserve">    Selecione  a modalidade:</t>
  </si>
  <si>
    <t>Simulador de Custos e Honorários de Arbitragem Ordinária</t>
  </si>
  <si>
    <t>Voltar</t>
  </si>
  <si>
    <t>Quantidade</t>
  </si>
  <si>
    <t>Inserir quantidade de árbitros e previsão
de horas por árbitro</t>
  </si>
  <si>
    <t>Horas (mínino 20h. por árbitro)</t>
  </si>
  <si>
    <t>Inserir previsão
Total Horas Mediador
(Mínimo 5h)</t>
  </si>
  <si>
    <t>Honorários do Mediador</t>
  </si>
</sst>
</file>

<file path=xl/styles.xml><?xml version="1.0" encoding="utf-8"?>
<styleSheet xmlns="http://schemas.openxmlformats.org/spreadsheetml/2006/main">
  <numFmts count="5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 numFmtId="173" formatCode="#,##0.0000"/>
    <numFmt numFmtId="174" formatCode="_(* #,##0.0000_);_(* \(#,##0.0000\);_(* &quot;-&quot;??_);_(@_)"/>
    <numFmt numFmtId="175" formatCode="_(* #,##0.00000_);_(* \(#,##0.00000\);_(* &quot;-&quot;??_);_(@_)"/>
    <numFmt numFmtId="176" formatCode="0.000000"/>
    <numFmt numFmtId="177" formatCode="_(* #,##0_);_(* \(#,##0\);_(* &quot;-&quot;??_);_(@_)"/>
    <numFmt numFmtId="178" formatCode="_(* #,##0.0000_);_(* \(#,##0.0000\);_(* &quot;-&quot;????_);_(@_)"/>
    <numFmt numFmtId="179" formatCode="_(* #,##0.000000_);_(* \(#,##0.000000\);_(* &quot;-&quot;??_);_(@_)"/>
    <numFmt numFmtId="180" formatCode="dd/mm/yy;@"/>
    <numFmt numFmtId="181" formatCode="_([$$-409]* #,##0.00_);_([$$-409]* \(#,##0.00\);_([$$-409]* &quot;-&quot;??_);_(@_)"/>
    <numFmt numFmtId="182" formatCode="_([$€-2]\ * #,##0.00_);_([$€-2]\ * \(#,##0.00\);_([$€-2]\ * &quot;-&quot;??_);_(@_)"/>
    <numFmt numFmtId="183" formatCode="_([$USD]\ * #,##0.00_);_([$USD]\ * \(#,##0.00\);_([$USD]\ * &quot;-&quot;??_);_(@_)"/>
    <numFmt numFmtId="184" formatCode="_-[$$-409]* #,##0.00_ ;_-[$$-409]* \-#,##0.00\ ;_-[$$-409]* &quot;-&quot;??_ ;_-@_ "/>
    <numFmt numFmtId="185" formatCode="_-[$€-2]\ * #,##0.00_-;\-[$€-2]\ * #,##0.00_-;_-[$€-2]\ * &quot;-&quot;??_-;_-@_-"/>
    <numFmt numFmtId="186" formatCode="0.000%"/>
    <numFmt numFmtId="187" formatCode="0.0000%"/>
    <numFmt numFmtId="188" formatCode="[$$-409]#,##0.00_);\([$$-409]#,##0.00\)"/>
    <numFmt numFmtId="189" formatCode="_-[$R$-416]\ * #,##0.00_-;\-[$R$-416]\ * #,##0.00_-;_-[$R$-416]\ * &quot;-&quot;??_-;_-@_-"/>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_(* #,##0.000_);_(* \(#,##0.000\);_(* &quot;-&quot;???_);_(@_)"/>
    <numFmt numFmtId="195" formatCode="_(* #,##0.0_);_(* \(#,##0.0\);_(* &quot;-&quot;??_);_(@_)"/>
    <numFmt numFmtId="196" formatCode="_(* #,##0.00_);_(* \(#,##0.00\);_(* &quot;-&quot;???_);_(@_)"/>
    <numFmt numFmtId="197" formatCode="_(* #,##0.0_);_(* \(#,##0.0\);_(* &quot;-&quot;???_);_(@_)"/>
    <numFmt numFmtId="198" formatCode="_(* #,##0_);_(* \(#,##0\);_(* &quot;-&quot;???_);_(@_)"/>
    <numFmt numFmtId="199" formatCode="#,##0.0"/>
    <numFmt numFmtId="200" formatCode="&quot;R$ &quot;#,##0"/>
    <numFmt numFmtId="201" formatCode="&quot;R$ &quot;#,##0.00"/>
    <numFmt numFmtId="202" formatCode="&quot;R$&quot;\ #,##0.00"/>
    <numFmt numFmtId="203" formatCode="0.000"/>
    <numFmt numFmtId="204" formatCode="[$-416]dddd\,\ d&quot; de &quot;mmmm&quot; de &quot;yyyy"/>
    <numFmt numFmtId="205" formatCode="#,##0.0;[Red]\-#,##0.0"/>
    <numFmt numFmtId="206" formatCode="_(&quot;R$ &quot;* #,##0.0_);_(&quot;R$ &quot;* \(#,##0.0\);_(&quot;R$ &quot;* &quot;-&quot;??_);_(@_)"/>
    <numFmt numFmtId="207" formatCode="_(&quot;R$ &quot;* #,##0.000_);_(&quot;R$ &quot;* \(#,##0.000\);_(&quot;R$ &quot;* &quot;-&quot;??_);_(@_)"/>
    <numFmt numFmtId="208" formatCode="_(&quot;R$ &quot;* #,##0.0000_);_(&quot;R$ &quot;* \(#,##0.0000\);_(&quot;R$ &quot;* &quot;-&quot;??_);_(@_)"/>
    <numFmt numFmtId="209" formatCode="_(&quot;R$ &quot;* #,##0_);_(&quot;R$ &quot;* \(#,##0\);_(&quot;R$ &quot;* &quot;-&quot;??_);_(@_)"/>
    <numFmt numFmtId="210" formatCode="0.0"/>
  </numFmts>
  <fonts count="108">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8"/>
      <name val="Calibri"/>
      <family val="2"/>
    </font>
    <font>
      <sz val="8"/>
      <color indexed="8"/>
      <name val="Arial"/>
      <family val="2"/>
    </font>
    <font>
      <sz val="8"/>
      <name val="Arial"/>
      <family val="2"/>
    </font>
    <font>
      <b/>
      <sz val="8"/>
      <name val="Arial"/>
      <family val="2"/>
    </font>
    <font>
      <b/>
      <sz val="9"/>
      <name val="Tahoma"/>
      <family val="2"/>
    </font>
    <font>
      <sz val="9"/>
      <name val="Tahoma"/>
      <family val="2"/>
    </font>
    <font>
      <sz val="8"/>
      <name val="Calibri"/>
      <family val="2"/>
    </font>
    <font>
      <b/>
      <sz val="8"/>
      <name val="Calibri"/>
      <family val="2"/>
    </font>
    <font>
      <sz val="10"/>
      <color indexed="10"/>
      <name val="Arial"/>
      <family val="2"/>
    </font>
    <font>
      <b/>
      <sz val="8"/>
      <color indexed="9"/>
      <name val="Arial"/>
      <family val="2"/>
    </font>
    <font>
      <sz val="9"/>
      <color indexed="10"/>
      <name val="Arial"/>
      <family val="2"/>
    </font>
    <font>
      <sz val="8"/>
      <color indexed="62"/>
      <name val="Arial"/>
      <family val="2"/>
    </font>
    <font>
      <sz val="8"/>
      <color indexed="10"/>
      <name val="Arial"/>
      <family val="2"/>
    </font>
    <font>
      <sz val="11"/>
      <name val="Calibri"/>
      <family val="2"/>
    </font>
    <font>
      <sz val="10"/>
      <name val="Calibri"/>
      <family val="2"/>
    </font>
    <font>
      <sz val="10"/>
      <color indexed="10"/>
      <name val="Calibri"/>
      <family val="2"/>
    </font>
    <font>
      <b/>
      <sz val="10"/>
      <name val="Arial"/>
      <family val="2"/>
    </font>
    <font>
      <sz val="10"/>
      <name val="Verdana"/>
      <family val="2"/>
    </font>
    <font>
      <b/>
      <sz val="10"/>
      <name val="Verdana"/>
      <family val="2"/>
    </font>
    <font>
      <sz val="12"/>
      <color indexed="8"/>
      <name val="Verdana"/>
      <family val="2"/>
    </font>
    <font>
      <sz val="9"/>
      <name val="Verdana"/>
      <family val="2"/>
    </font>
    <font>
      <sz val="10"/>
      <name val="Times New Roman"/>
      <family val="1"/>
    </font>
    <font>
      <sz val="9"/>
      <name val="Times New Roman"/>
      <family val="1"/>
    </font>
    <font>
      <b/>
      <sz val="10"/>
      <name val="Times New Roman"/>
      <family val="1"/>
    </font>
    <font>
      <sz val="8"/>
      <name val="Times New Roman"/>
      <family val="1"/>
    </font>
    <font>
      <b/>
      <sz val="14"/>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56"/>
      <name val="Arial"/>
      <family val="2"/>
    </font>
    <font>
      <sz val="10"/>
      <color indexed="9"/>
      <name val="Times New Roman"/>
      <family val="1"/>
    </font>
    <font>
      <sz val="10"/>
      <color indexed="60"/>
      <name val="Times New Roman"/>
      <family val="1"/>
    </font>
    <font>
      <sz val="10"/>
      <color indexed="10"/>
      <name val="Times New Roman"/>
      <family val="1"/>
    </font>
    <font>
      <sz val="8"/>
      <color indexed="60"/>
      <name val="Times New Roman"/>
      <family val="1"/>
    </font>
    <font>
      <sz val="8"/>
      <color indexed="10"/>
      <name val="Times New Roman"/>
      <family val="1"/>
    </font>
    <font>
      <b/>
      <sz val="12"/>
      <color indexed="8"/>
      <name val="Calibri"/>
      <family val="2"/>
    </font>
    <font>
      <b/>
      <sz val="14"/>
      <color indexed="8"/>
      <name val="Calibri"/>
      <family val="2"/>
    </font>
    <font>
      <b/>
      <sz val="12"/>
      <color indexed="8"/>
      <name val="Arial"/>
      <family val="2"/>
    </font>
    <font>
      <b/>
      <sz val="14"/>
      <color indexed="8"/>
      <name val="Arial"/>
      <family val="2"/>
    </font>
    <font>
      <b/>
      <sz val="14"/>
      <color indexed="9"/>
      <name val="Arial"/>
      <family val="2"/>
    </font>
    <font>
      <b/>
      <sz val="11"/>
      <color indexed="8"/>
      <name val="Arial"/>
      <family val="2"/>
    </font>
    <font>
      <b/>
      <sz val="12"/>
      <color indexed="10"/>
      <name val="Arial"/>
      <family val="2"/>
    </font>
    <font>
      <sz val="11"/>
      <color indexed="29"/>
      <name val="Calibri"/>
      <family val="2"/>
    </font>
    <font>
      <sz val="11"/>
      <color indexed="46"/>
      <name val="Calibri"/>
      <family val="2"/>
    </font>
    <font>
      <sz val="11"/>
      <color indexed="11"/>
      <name val="Calibri"/>
      <family val="2"/>
    </font>
    <font>
      <sz val="11"/>
      <color indexed="44"/>
      <name val="Calibri"/>
      <family val="2"/>
    </font>
    <font>
      <b/>
      <sz val="16"/>
      <color indexed="9"/>
      <name val="Arial"/>
      <family val="2"/>
    </font>
    <font>
      <b/>
      <sz val="18"/>
      <color indexed="9"/>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3"/>
      <name val="Arial"/>
      <family val="2"/>
    </font>
    <font>
      <sz val="10"/>
      <color theme="0"/>
      <name val="Times New Roman"/>
      <family val="1"/>
    </font>
    <font>
      <sz val="10"/>
      <color rgb="FFC00000"/>
      <name val="Times New Roman"/>
      <family val="1"/>
    </font>
    <font>
      <sz val="10"/>
      <color rgb="FFFF0000"/>
      <name val="Times New Roman"/>
      <family val="1"/>
    </font>
    <font>
      <sz val="8"/>
      <color rgb="FFC00000"/>
      <name val="Times New Roman"/>
      <family val="1"/>
    </font>
    <font>
      <sz val="8"/>
      <color rgb="FFFF0000"/>
      <name val="Times New Roman"/>
      <family val="1"/>
    </font>
    <font>
      <b/>
      <sz val="12"/>
      <color theme="1"/>
      <name val="Calibri"/>
      <family val="2"/>
    </font>
    <font>
      <b/>
      <sz val="14"/>
      <color theme="1"/>
      <name val="Calibri"/>
      <family val="2"/>
    </font>
    <font>
      <b/>
      <sz val="12"/>
      <color theme="1"/>
      <name val="Arial"/>
      <family val="2"/>
    </font>
    <font>
      <b/>
      <sz val="14"/>
      <color theme="1"/>
      <name val="Arial"/>
      <family val="2"/>
    </font>
    <font>
      <sz val="11"/>
      <color theme="5" tint="-0.24997000396251678"/>
      <name val="Calibri"/>
      <family val="2"/>
    </font>
    <font>
      <b/>
      <sz val="14"/>
      <color theme="0"/>
      <name val="Arial"/>
      <family val="2"/>
    </font>
    <font>
      <b/>
      <sz val="11"/>
      <color theme="1"/>
      <name val="Arial"/>
      <family val="2"/>
    </font>
    <font>
      <b/>
      <sz val="12"/>
      <color rgb="FFFF0000"/>
      <name val="Arial"/>
      <family val="2"/>
    </font>
    <font>
      <sz val="11"/>
      <color theme="5" tint="0.5999900102615356"/>
      <name val="Calibri"/>
      <family val="2"/>
    </font>
    <font>
      <sz val="11"/>
      <color theme="7" tint="0.5999900102615356"/>
      <name val="Calibri"/>
      <family val="2"/>
    </font>
    <font>
      <sz val="11"/>
      <color theme="6" tint="0.5999900102615356"/>
      <name val="Calibri"/>
      <family val="2"/>
    </font>
    <font>
      <sz val="11"/>
      <color theme="4" tint="0.5999900102615356"/>
      <name val="Calibri"/>
      <family val="2"/>
    </font>
    <font>
      <b/>
      <sz val="16"/>
      <color theme="0"/>
      <name val="Arial"/>
      <family val="2"/>
    </font>
    <font>
      <b/>
      <sz val="18"/>
      <color theme="0"/>
      <name val="Arial"/>
      <family val="2"/>
    </font>
    <font>
      <b/>
      <sz val="16"/>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8"/>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6" tint="-0.4999699890613556"/>
        <bgColor indexed="64"/>
      </patternFill>
    </fill>
    <fill>
      <patternFill patternType="solid">
        <fgColor theme="0" tint="-0.1499900072813034"/>
        <bgColor indexed="64"/>
      </patternFill>
    </fill>
    <fill>
      <patternFill patternType="solid">
        <fgColor indexed="49"/>
        <bgColor indexed="64"/>
      </patternFill>
    </fill>
    <fill>
      <patternFill patternType="solid">
        <fgColor theme="1" tint="0.34999001026153564"/>
        <bgColor indexed="64"/>
      </patternFill>
    </fill>
    <fill>
      <patternFill patternType="solid">
        <fgColor theme="5"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ck"/>
      <right>
        <color indexed="63"/>
      </right>
      <top style="thin"/>
      <bottom style="thin"/>
    </border>
    <border>
      <left style="thin"/>
      <right/>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169"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71" fontId="0" fillId="0" borderId="0" applyFont="0" applyFill="0" applyBorder="0" applyAlignment="0" applyProtection="0"/>
  </cellStyleXfs>
  <cellXfs count="781">
    <xf numFmtId="0" fontId="0" fillId="0" borderId="0" xfId="0" applyAlignment="1">
      <alignment/>
    </xf>
    <xf numFmtId="172" fontId="0" fillId="0" borderId="0" xfId="0" applyNumberFormat="1" applyFont="1" applyBorder="1" applyAlignment="1">
      <alignment horizontal="right"/>
    </xf>
    <xf numFmtId="0" fontId="0" fillId="0" borderId="0" xfId="0" applyFont="1" applyBorder="1" applyAlignment="1">
      <alignment horizontal="right"/>
    </xf>
    <xf numFmtId="17" fontId="0"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Font="1" applyAlignment="1">
      <alignment/>
    </xf>
    <xf numFmtId="171" fontId="0" fillId="0" borderId="10" xfId="0" applyNumberFormat="1" applyFont="1" applyBorder="1" applyAlignment="1">
      <alignment/>
    </xf>
    <xf numFmtId="0" fontId="0" fillId="0" borderId="10" xfId="0" applyFont="1" applyBorder="1" applyAlignment="1">
      <alignment/>
    </xf>
    <xf numFmtId="0" fontId="1" fillId="0" borderId="0" xfId="0" applyFont="1" applyBorder="1" applyAlignment="1">
      <alignment horizontal="center" vertical="center"/>
    </xf>
    <xf numFmtId="172" fontId="1"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 fontId="2" fillId="0" borderId="0" xfId="0" applyNumberFormat="1" applyFont="1" applyBorder="1" applyAlignment="1">
      <alignment horizontal="center" vertical="center"/>
    </xf>
    <xf numFmtId="2" fontId="2" fillId="0" borderId="0" xfId="63"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0" fontId="0" fillId="0" borderId="10" xfId="0" applyBorder="1" applyAlignment="1">
      <alignment/>
    </xf>
    <xf numFmtId="171" fontId="0" fillId="0" borderId="10" xfId="0" applyNumberFormat="1" applyBorder="1" applyAlignment="1">
      <alignment/>
    </xf>
    <xf numFmtId="0" fontId="11" fillId="33" borderId="0" xfId="0" applyFont="1" applyFill="1" applyAlignment="1">
      <alignment vertical="center"/>
    </xf>
    <xf numFmtId="0" fontId="11" fillId="33" borderId="0" xfId="0" applyFont="1" applyFill="1" applyBorder="1" applyAlignment="1">
      <alignment vertical="center"/>
    </xf>
    <xf numFmtId="0" fontId="12" fillId="0" borderId="0" xfId="0" applyFont="1" applyBorder="1" applyAlignment="1">
      <alignment horizontal="center" vertical="center"/>
    </xf>
    <xf numFmtId="172" fontId="12" fillId="0" borderId="0" xfId="0" applyNumberFormat="1" applyFont="1" applyBorder="1" applyAlignment="1">
      <alignment horizontal="center" vertical="center"/>
    </xf>
    <xf numFmtId="172"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49" fontId="12" fillId="0" borderId="10" xfId="0" applyNumberFormat="1" applyFont="1" applyBorder="1" applyAlignment="1">
      <alignment horizontal="center" vertical="center"/>
    </xf>
    <xf numFmtId="0" fontId="12" fillId="33" borderId="10" xfId="0" applyFont="1" applyFill="1" applyBorder="1" applyAlignment="1">
      <alignment horizontal="center" vertical="center" wrapText="1"/>
    </xf>
    <xf numFmtId="180" fontId="12" fillId="33" borderId="10" xfId="0" applyNumberFormat="1" applyFont="1" applyFill="1" applyBorder="1" applyAlignment="1">
      <alignment horizontal="center" vertical="center" wrapText="1"/>
    </xf>
    <xf numFmtId="171" fontId="12" fillId="33" borderId="10" xfId="63" applyFont="1" applyFill="1" applyBorder="1" applyAlignment="1">
      <alignment horizontal="center" vertical="center" wrapText="1"/>
    </xf>
    <xf numFmtId="179" fontId="12" fillId="0" borderId="10" xfId="63" applyNumberFormat="1" applyFont="1" applyFill="1" applyBorder="1" applyAlignment="1">
      <alignment horizontal="center" vertical="center" wrapText="1"/>
    </xf>
    <xf numFmtId="171" fontId="12" fillId="0" borderId="10" xfId="63" applyFont="1" applyFill="1" applyBorder="1" applyAlignment="1">
      <alignment horizontal="center" vertical="center" wrapText="1"/>
    </xf>
    <xf numFmtId="0" fontId="11" fillId="33" borderId="0" xfId="0" applyFont="1" applyFill="1" applyBorder="1" applyAlignment="1">
      <alignment vertical="center" wrapText="1"/>
    </xf>
    <xf numFmtId="0" fontId="11" fillId="0" borderId="0" xfId="0" applyFont="1" applyAlignment="1">
      <alignment horizontal="center" vertical="center"/>
    </xf>
    <xf numFmtId="0" fontId="11" fillId="33" borderId="11" xfId="0" applyFont="1" applyFill="1" applyBorder="1" applyAlignment="1">
      <alignment horizontal="center" vertical="center" wrapText="1"/>
    </xf>
    <xf numFmtId="180" fontId="11" fillId="0" borderId="11" xfId="0" applyNumberFormat="1" applyFont="1" applyBorder="1" applyAlignment="1">
      <alignment horizontal="center" vertical="center" wrapText="1"/>
    </xf>
    <xf numFmtId="171" fontId="11" fillId="0" borderId="11" xfId="63" applyFont="1" applyBorder="1" applyAlignment="1">
      <alignment horizontal="center" vertical="center" wrapText="1"/>
    </xf>
    <xf numFmtId="173" fontId="11" fillId="0" borderId="11" xfId="0" applyNumberFormat="1" applyFont="1" applyFill="1" applyBorder="1" applyAlignment="1">
      <alignment horizontal="center" vertical="center"/>
    </xf>
    <xf numFmtId="179" fontId="11" fillId="0" borderId="11" xfId="63" applyNumberFormat="1" applyFont="1" applyBorder="1" applyAlignment="1">
      <alignment horizontal="center" vertical="center" wrapText="1"/>
    </xf>
    <xf numFmtId="0" fontId="11" fillId="0" borderId="10" xfId="0" applyFont="1" applyBorder="1" applyAlignment="1">
      <alignment horizontal="center" vertical="center"/>
    </xf>
    <xf numFmtId="0" fontId="11" fillId="33" borderId="10" xfId="0" applyFont="1" applyFill="1" applyBorder="1" applyAlignment="1">
      <alignment horizontal="center" vertical="center" wrapText="1"/>
    </xf>
    <xf numFmtId="180" fontId="11" fillId="0" borderId="10" xfId="0" applyNumberFormat="1" applyFont="1" applyBorder="1" applyAlignment="1">
      <alignment horizontal="center" vertical="center" wrapText="1"/>
    </xf>
    <xf numFmtId="171" fontId="11" fillId="0" borderId="10" xfId="63" applyFont="1" applyBorder="1" applyAlignment="1">
      <alignment horizontal="center" vertical="center" wrapText="1"/>
    </xf>
    <xf numFmtId="179" fontId="11" fillId="0" borderId="10" xfId="63" applyNumberFormat="1" applyFont="1" applyBorder="1" applyAlignment="1">
      <alignment horizontal="center" vertical="center" wrapText="1"/>
    </xf>
    <xf numFmtId="0" fontId="11" fillId="33" borderId="0" xfId="0" applyFont="1" applyFill="1" applyAlignment="1">
      <alignment horizontal="center" vertical="center"/>
    </xf>
    <xf numFmtId="177" fontId="11" fillId="0" borderId="10" xfId="63" applyNumberFormat="1" applyFont="1" applyBorder="1" applyAlignment="1">
      <alignment horizontal="center" vertical="center" wrapText="1"/>
    </xf>
    <xf numFmtId="17"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176" fontId="11" fillId="0" borderId="0" xfId="0" applyNumberFormat="1" applyFont="1" applyBorder="1" applyAlignment="1">
      <alignment horizontal="center" vertical="center"/>
    </xf>
    <xf numFmtId="49" fontId="11" fillId="33"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xf>
    <xf numFmtId="0" fontId="12" fillId="34" borderId="12" xfId="0" applyFont="1" applyFill="1" applyBorder="1" applyAlignment="1">
      <alignment horizontal="center" vertical="center" wrapText="1"/>
    </xf>
    <xf numFmtId="171" fontId="12" fillId="34" borderId="10" xfId="63" applyFont="1" applyFill="1" applyBorder="1" applyAlignment="1">
      <alignment horizontal="center" vertical="center" wrapText="1"/>
    </xf>
    <xf numFmtId="0" fontId="11" fillId="34" borderId="10" xfId="0" applyFont="1" applyFill="1" applyBorder="1" applyAlignment="1">
      <alignment horizontal="center" vertical="center"/>
    </xf>
    <xf numFmtId="49" fontId="11" fillId="0" borderId="10" xfId="0" applyNumberFormat="1" applyFont="1" applyBorder="1" applyAlignment="1">
      <alignment horizontal="center" vertical="center" wrapText="1"/>
    </xf>
    <xf numFmtId="181" fontId="11" fillId="0" borderId="10" xfId="63" applyNumberFormat="1" applyFont="1" applyBorder="1" applyAlignment="1">
      <alignment horizontal="center" vertical="center" wrapText="1"/>
    </xf>
    <xf numFmtId="0" fontId="11" fillId="0" borderId="10" xfId="0" applyFont="1" applyFill="1" applyBorder="1" applyAlignment="1">
      <alignment horizontal="center" vertical="center" wrapText="1"/>
    </xf>
    <xf numFmtId="2" fontId="11" fillId="0" borderId="0" xfId="63" applyNumberFormat="1" applyFont="1" applyBorder="1" applyAlignment="1">
      <alignment horizontal="center" vertical="center"/>
    </xf>
    <xf numFmtId="182" fontId="11" fillId="0" borderId="10" xfId="63" applyNumberFormat="1" applyFont="1" applyBorder="1" applyAlignment="1">
      <alignment horizontal="center" vertical="center" wrapText="1"/>
    </xf>
    <xf numFmtId="0" fontId="11" fillId="0" borderId="0" xfId="0" applyFont="1" applyBorder="1" applyAlignment="1">
      <alignment horizontal="center" vertical="center" wrapText="1"/>
    </xf>
    <xf numFmtId="49" fontId="11" fillId="33" borderId="0" xfId="0" applyNumberFormat="1" applyFont="1" applyFill="1" applyAlignment="1">
      <alignment vertical="center"/>
    </xf>
    <xf numFmtId="171" fontId="11" fillId="33" borderId="10" xfId="63" applyFont="1" applyFill="1" applyBorder="1" applyAlignment="1">
      <alignment horizontal="center" vertical="center" wrapText="1"/>
    </xf>
    <xf numFmtId="180" fontId="11" fillId="33" borderId="10" xfId="0" applyNumberFormat="1" applyFont="1" applyFill="1" applyBorder="1" applyAlignment="1">
      <alignment horizontal="center" vertical="center"/>
    </xf>
    <xf numFmtId="183" fontId="11" fillId="0" borderId="10" xfId="63" applyNumberFormat="1" applyFont="1" applyBorder="1" applyAlignment="1">
      <alignment horizontal="center" vertical="center" wrapText="1"/>
    </xf>
    <xf numFmtId="171" fontId="11" fillId="0" borderId="0" xfId="63" applyFont="1" applyAlignment="1">
      <alignment vertical="center"/>
    </xf>
    <xf numFmtId="181" fontId="11" fillId="33" borderId="10" xfId="63" applyNumberFormat="1" applyFont="1" applyFill="1" applyBorder="1" applyAlignment="1">
      <alignment horizontal="center" vertical="center"/>
    </xf>
    <xf numFmtId="171" fontId="11" fillId="33" borderId="10" xfId="63" applyFont="1" applyFill="1" applyBorder="1" applyAlignment="1">
      <alignment horizontal="center" vertical="center"/>
    </xf>
    <xf numFmtId="181" fontId="11" fillId="0" borderId="10" xfId="63" applyNumberFormat="1" applyFont="1" applyBorder="1" applyAlignment="1">
      <alignment horizontal="center" vertical="center"/>
    </xf>
    <xf numFmtId="174" fontId="11" fillId="0" borderId="10" xfId="63" applyNumberFormat="1" applyFont="1" applyBorder="1" applyAlignment="1">
      <alignment horizontal="center" vertical="center" wrapText="1"/>
    </xf>
    <xf numFmtId="0" fontId="11" fillId="0" borderId="10" xfId="0" applyFont="1" applyBorder="1" applyAlignment="1">
      <alignment horizontal="center" vertical="center" wrapText="1"/>
    </xf>
    <xf numFmtId="171" fontId="11" fillId="0" borderId="10" xfId="63" applyFont="1" applyFill="1" applyBorder="1" applyAlignment="1">
      <alignment horizontal="center" vertical="center" wrapText="1"/>
    </xf>
    <xf numFmtId="2" fontId="11" fillId="0" borderId="0" xfId="0" applyNumberFormat="1" applyFont="1" applyBorder="1" applyAlignment="1">
      <alignment horizontal="center" vertical="center" wrapText="1"/>
    </xf>
    <xf numFmtId="171" fontId="11" fillId="0" borderId="10" xfId="63" applyFont="1" applyBorder="1" applyAlignment="1">
      <alignment horizontal="center" vertical="center"/>
    </xf>
    <xf numFmtId="171" fontId="11" fillId="0" borderId="10" xfId="63" applyFont="1" applyFill="1" applyBorder="1" applyAlignment="1">
      <alignment horizontal="center" vertical="center"/>
    </xf>
    <xf numFmtId="180" fontId="11" fillId="0" borderId="10" xfId="0" applyNumberFormat="1" applyFont="1" applyFill="1" applyBorder="1" applyAlignment="1">
      <alignment horizontal="center" vertical="center" wrapText="1"/>
    </xf>
    <xf numFmtId="0" fontId="11" fillId="33" borderId="13" xfId="0" applyFont="1" applyFill="1" applyBorder="1" applyAlignment="1">
      <alignment horizontal="right" vertical="center" wrapText="1"/>
    </xf>
    <xf numFmtId="180" fontId="11" fillId="0" borderId="10" xfId="0" applyNumberFormat="1" applyFont="1" applyFill="1" applyBorder="1" applyAlignment="1">
      <alignment horizontal="center" vertical="center"/>
    </xf>
    <xf numFmtId="0" fontId="11" fillId="0" borderId="10" xfId="0" applyFont="1" applyBorder="1" applyAlignment="1">
      <alignment vertical="center"/>
    </xf>
    <xf numFmtId="2" fontId="11" fillId="0" borderId="0" xfId="0" applyNumberFormat="1" applyFont="1" applyBorder="1" applyAlignment="1">
      <alignment horizontal="right" vertical="center"/>
    </xf>
    <xf numFmtId="172" fontId="11" fillId="0" borderId="0" xfId="0" applyNumberFormat="1" applyFont="1" applyBorder="1" applyAlignment="1">
      <alignment horizontal="right" vertical="center"/>
    </xf>
    <xf numFmtId="181" fontId="11" fillId="0" borderId="10" xfId="63" applyNumberFormat="1" applyFont="1" applyFill="1" applyBorder="1" applyAlignment="1">
      <alignment horizontal="center" vertical="center"/>
    </xf>
    <xf numFmtId="171" fontId="11" fillId="0" borderId="10" xfId="63" applyFont="1" applyBorder="1" applyAlignment="1">
      <alignment vertical="center"/>
    </xf>
    <xf numFmtId="17" fontId="11" fillId="0" borderId="0" xfId="0" applyNumberFormat="1" applyFont="1" applyBorder="1" applyAlignment="1">
      <alignment horizontal="right" vertical="center"/>
    </xf>
    <xf numFmtId="0" fontId="11" fillId="0" borderId="0" xfId="0" applyFont="1" applyAlignment="1">
      <alignment horizontal="right" vertical="center" wrapText="1"/>
    </xf>
    <xf numFmtId="0" fontId="11" fillId="0" borderId="10" xfId="0" applyFont="1" applyFill="1" applyBorder="1" applyAlignment="1">
      <alignment horizontal="center" vertical="center"/>
    </xf>
    <xf numFmtId="179" fontId="11" fillId="0" borderId="10" xfId="63" applyNumberFormat="1" applyFont="1" applyBorder="1" applyAlignment="1">
      <alignment horizontal="center" vertical="center"/>
    </xf>
    <xf numFmtId="4" fontId="11" fillId="0" borderId="10" xfId="0" applyNumberFormat="1" applyFont="1" applyBorder="1" applyAlignment="1">
      <alignment horizontal="center" vertical="center" wrapText="1"/>
    </xf>
    <xf numFmtId="171" fontId="11" fillId="0" borderId="10" xfId="63" applyFont="1" applyFill="1" applyBorder="1" applyAlignment="1">
      <alignment vertical="center"/>
    </xf>
    <xf numFmtId="181" fontId="11" fillId="0" borderId="10" xfId="0" applyNumberFormat="1" applyFont="1" applyFill="1" applyBorder="1" applyAlignment="1">
      <alignment horizontal="center" vertical="center"/>
    </xf>
    <xf numFmtId="180" fontId="11" fillId="0" borderId="10" xfId="0" applyNumberFormat="1" applyFont="1" applyBorder="1" applyAlignment="1">
      <alignment vertical="center"/>
    </xf>
    <xf numFmtId="0" fontId="11" fillId="0" borderId="10" xfId="0" applyFont="1" applyBorder="1" applyAlignment="1">
      <alignment vertical="center" wrapText="1"/>
    </xf>
    <xf numFmtId="0" fontId="12" fillId="34" borderId="14" xfId="0" applyFont="1" applyFill="1" applyBorder="1" applyAlignment="1">
      <alignment horizontal="center" vertical="center" wrapText="1"/>
    </xf>
    <xf numFmtId="171" fontId="12" fillId="35" borderId="10" xfId="63" applyFont="1" applyFill="1" applyBorder="1" applyAlignment="1">
      <alignment vertical="center"/>
    </xf>
    <xf numFmtId="180" fontId="11" fillId="0" borderId="0" xfId="0" applyNumberFormat="1" applyFont="1" applyAlignment="1">
      <alignment vertical="center"/>
    </xf>
    <xf numFmtId="171" fontId="11" fillId="0" borderId="0" xfId="63" applyFont="1" applyAlignment="1">
      <alignment horizontal="center" vertical="center"/>
    </xf>
    <xf numFmtId="179" fontId="11" fillId="0" borderId="0" xfId="63" applyNumberFormat="1" applyFont="1" applyAlignment="1">
      <alignment horizontal="center" vertical="center"/>
    </xf>
    <xf numFmtId="180" fontId="11" fillId="0" borderId="15" xfId="0" applyNumberFormat="1" applyFont="1" applyBorder="1" applyAlignment="1">
      <alignment horizontal="center" vertical="center" wrapText="1"/>
    </xf>
    <xf numFmtId="171" fontId="11" fillId="0" borderId="15" xfId="63" applyFont="1" applyBorder="1" applyAlignment="1">
      <alignment horizontal="center" vertical="center" wrapText="1"/>
    </xf>
    <xf numFmtId="177" fontId="11" fillId="0" borderId="15" xfId="63" applyNumberFormat="1" applyFont="1" applyBorder="1" applyAlignment="1">
      <alignment horizontal="center" vertical="center" wrapText="1"/>
    </xf>
    <xf numFmtId="179" fontId="11" fillId="0" borderId="16" xfId="63" applyNumberFormat="1" applyFont="1" applyBorder="1" applyAlignment="1">
      <alignment horizontal="center" vertical="center" wrapText="1"/>
    </xf>
    <xf numFmtId="0" fontId="0" fillId="34" borderId="10" xfId="0" applyFill="1" applyBorder="1" applyAlignment="1">
      <alignment/>
    </xf>
    <xf numFmtId="44" fontId="6" fillId="0" borderId="10" xfId="47"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13" fillId="0" borderId="0" xfId="0" applyFont="1" applyAlignment="1">
      <alignment/>
    </xf>
    <xf numFmtId="14" fontId="7" fillId="0" borderId="10" xfId="0" applyNumberFormat="1" applyFont="1" applyFill="1" applyBorder="1" applyAlignment="1">
      <alignment horizontal="center" vertical="center"/>
    </xf>
    <xf numFmtId="0" fontId="14" fillId="36" borderId="10" xfId="0" applyFont="1" applyFill="1" applyBorder="1" applyAlignment="1">
      <alignment horizontal="center" vertical="center" wrapText="1"/>
    </xf>
    <xf numFmtId="1" fontId="14" fillId="36" borderId="12" xfId="0" applyNumberFormat="1" applyFont="1" applyFill="1" applyBorder="1" applyAlignment="1">
      <alignment horizontal="center" vertical="center" wrapText="1"/>
    </xf>
    <xf numFmtId="44" fontId="14" fillId="36" borderId="16" xfId="47" applyNumberFormat="1" applyFont="1" applyFill="1" applyBorder="1" applyAlignment="1">
      <alignment horizontal="center" vertical="center" wrapText="1"/>
    </xf>
    <xf numFmtId="44" fontId="14" fillId="36" borderId="12" xfId="47" applyNumberFormat="1" applyFont="1" applyFill="1" applyBorder="1" applyAlignment="1">
      <alignment horizontal="center" vertical="center" wrapText="1"/>
    </xf>
    <xf numFmtId="44" fontId="14" fillId="36" borderId="10" xfId="47" applyNumberFormat="1" applyFont="1" applyFill="1" applyBorder="1" applyAlignment="1">
      <alignment horizontal="center" vertical="center" wrapText="1"/>
    </xf>
    <xf numFmtId="14" fontId="14" fillId="36" borderId="10" xfId="0" applyNumberFormat="1" applyFont="1" applyFill="1" applyBorder="1" applyAlignment="1">
      <alignment horizontal="center" vertical="center" wrapText="1"/>
    </xf>
    <xf numFmtId="14" fontId="14" fillId="36" borderId="16"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14" fillId="37" borderId="0" xfId="0" applyNumberFormat="1" applyFont="1" applyFill="1" applyBorder="1" applyAlignment="1">
      <alignment horizontal="center" vertical="center" wrapText="1"/>
    </xf>
    <xf numFmtId="0" fontId="14" fillId="37"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 fontId="6" fillId="0" borderId="12"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4" fontId="6" fillId="0" borderId="16" xfId="47" applyNumberFormat="1" applyFont="1" applyFill="1" applyBorder="1" applyAlignment="1">
      <alignment horizontal="center" vertical="center"/>
    </xf>
    <xf numFmtId="0" fontId="0" fillId="0" borderId="12" xfId="0" applyBorder="1" applyAlignment="1">
      <alignment/>
    </xf>
    <xf numFmtId="14" fontId="6" fillId="0" borderId="10"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184" fontId="6" fillId="0" borderId="10" xfId="0" applyNumberFormat="1" applyFont="1" applyFill="1" applyBorder="1" applyAlignment="1">
      <alignment horizontal="center" vertical="center"/>
    </xf>
    <xf numFmtId="17" fontId="15" fillId="0" borderId="0" xfId="0" applyNumberFormat="1" applyFont="1" applyBorder="1" applyAlignment="1">
      <alignment horizontal="center" vertical="center"/>
    </xf>
    <xf numFmtId="0" fontId="6" fillId="0" borderId="12" xfId="0" applyFont="1" applyFill="1" applyBorder="1" applyAlignment="1">
      <alignment horizontal="center" vertical="center"/>
    </xf>
    <xf numFmtId="185"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14" fontId="6" fillId="33"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44" fontId="7" fillId="0" borderId="10" xfId="47" applyNumberFormat="1" applyFont="1" applyFill="1" applyBorder="1" applyAlignment="1">
      <alignment horizontal="center" vertical="center"/>
    </xf>
    <xf numFmtId="44" fontId="7" fillId="0" borderId="16" xfId="47" applyNumberFormat="1" applyFont="1" applyFill="1" applyBorder="1" applyAlignment="1">
      <alignment horizontal="center" vertical="center"/>
    </xf>
    <xf numFmtId="14" fontId="7" fillId="0" borderId="16" xfId="0" applyNumberFormat="1" applyFont="1" applyFill="1" applyBorder="1" applyAlignment="1">
      <alignment horizontal="center" vertical="center"/>
    </xf>
    <xf numFmtId="14" fontId="7" fillId="38"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14" fontId="16"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wrapText="1"/>
    </xf>
    <xf numFmtId="184" fontId="7" fillId="0" borderId="10" xfId="0" applyNumberFormat="1" applyFont="1" applyFill="1" applyBorder="1" applyAlignment="1">
      <alignment horizontal="center" vertical="center"/>
    </xf>
    <xf numFmtId="0" fontId="0" fillId="0" borderId="0" xfId="0" applyFont="1" applyAlignment="1">
      <alignment horizontal="right" wrapText="1"/>
    </xf>
    <xf numFmtId="14" fontId="17" fillId="39" borderId="0" xfId="0" applyNumberFormat="1" applyFont="1" applyFill="1" applyBorder="1" applyAlignment="1">
      <alignment horizontal="center" vertical="center"/>
    </xf>
    <xf numFmtId="0" fontId="17" fillId="39" borderId="0" xfId="0" applyFont="1" applyFill="1" applyBorder="1" applyAlignment="1">
      <alignment horizontal="center" vertical="center" wrapText="1"/>
    </xf>
    <xf numFmtId="44" fontId="7" fillId="0" borderId="10" xfId="47" applyNumberFormat="1" applyFont="1" applyFill="1" applyBorder="1" applyAlignment="1">
      <alignment horizontal="center" vertical="center" wrapText="1"/>
    </xf>
    <xf numFmtId="170" fontId="7" fillId="0" borderId="10" xfId="63" applyNumberFormat="1" applyFont="1" applyFill="1" applyBorder="1" applyAlignment="1">
      <alignment horizontal="center" vertical="center" wrapText="1"/>
    </xf>
    <xf numFmtId="8" fontId="7" fillId="0" borderId="16"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10" xfId="0" applyFont="1" applyBorder="1" applyAlignment="1">
      <alignment/>
    </xf>
    <xf numFmtId="44" fontId="17" fillId="0" borderId="10" xfId="47" applyNumberFormat="1" applyFont="1" applyFill="1" applyBorder="1" applyAlignment="1">
      <alignment horizontal="center" vertical="center"/>
    </xf>
    <xf numFmtId="44" fontId="17" fillId="0" borderId="16" xfId="47" applyNumberFormat="1" applyFont="1" applyFill="1" applyBorder="1" applyAlignment="1">
      <alignment horizontal="center" vertical="center"/>
    </xf>
    <xf numFmtId="0" fontId="13" fillId="0" borderId="12" xfId="0" applyFont="1" applyBorder="1" applyAlignment="1">
      <alignment/>
    </xf>
    <xf numFmtId="171" fontId="13" fillId="0" borderId="10" xfId="0" applyNumberFormat="1" applyFont="1" applyBorder="1" applyAlignment="1">
      <alignment/>
    </xf>
    <xf numFmtId="14" fontId="17" fillId="0" borderId="10" xfId="0" applyNumberFormat="1"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8" fontId="7" fillId="0" borderId="10" xfId="0" applyNumberFormat="1" applyFont="1" applyFill="1" applyBorder="1" applyAlignment="1">
      <alignment horizontal="center" vertical="center"/>
    </xf>
    <xf numFmtId="8"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xf>
    <xf numFmtId="44" fontId="16" fillId="0" borderId="16" xfId="47" applyNumberFormat="1" applyFont="1" applyFill="1" applyBorder="1" applyAlignment="1">
      <alignment horizontal="center" vertical="center"/>
    </xf>
    <xf numFmtId="14"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1" fontId="6" fillId="0" borderId="12"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8" fontId="6" fillId="0" borderId="10" xfId="0" applyNumberFormat="1" applyFont="1" applyFill="1" applyBorder="1" applyAlignment="1">
      <alignment horizontal="center" vertical="center"/>
    </xf>
    <xf numFmtId="8" fontId="6" fillId="0" borderId="16" xfId="0" applyNumberFormat="1" applyFont="1" applyFill="1" applyBorder="1" applyAlignment="1">
      <alignment horizontal="center" vertical="center"/>
    </xf>
    <xf numFmtId="14" fontId="6" fillId="33" borderId="10" xfId="0" applyNumberFormat="1" applyFont="1" applyFill="1" applyBorder="1" applyAlignment="1">
      <alignment horizontal="center" vertical="center"/>
    </xf>
    <xf numFmtId="0" fontId="6" fillId="0" borderId="16" xfId="0" applyFont="1" applyFill="1" applyBorder="1" applyAlignment="1">
      <alignment horizontal="center" vertical="center"/>
    </xf>
    <xf numFmtId="167" fontId="6" fillId="0" borderId="10" xfId="63" applyNumberFormat="1"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8" fontId="6" fillId="0" borderId="10" xfId="0"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center" wrapText="1"/>
    </xf>
    <xf numFmtId="167" fontId="6" fillId="0" borderId="10" xfId="63" applyNumberFormat="1" applyFont="1" applyFill="1" applyBorder="1" applyAlignment="1">
      <alignment horizontal="center" vertical="center" wrapText="1"/>
    </xf>
    <xf numFmtId="172" fontId="0" fillId="0" borderId="12" xfId="0" applyNumberFormat="1" applyBorder="1" applyAlignment="1">
      <alignment/>
    </xf>
    <xf numFmtId="4" fontId="6" fillId="0" borderId="10" xfId="0" applyNumberFormat="1" applyFont="1" applyFill="1" applyBorder="1" applyAlignment="1">
      <alignment horizontal="center" vertical="center"/>
    </xf>
    <xf numFmtId="0" fontId="6" fillId="40" borderId="10" xfId="0" applyFont="1" applyFill="1" applyBorder="1" applyAlignment="1">
      <alignment horizontal="center" vertical="center"/>
    </xf>
    <xf numFmtId="180" fontId="12" fillId="0" borderId="10" xfId="0" applyNumberFormat="1"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pplyAlignment="1">
      <alignment vertical="center"/>
    </xf>
    <xf numFmtId="180" fontId="6" fillId="0" borderId="10"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14" fontId="11" fillId="0" borderId="10" xfId="0" applyNumberFormat="1" applyFont="1" applyBorder="1" applyAlignment="1">
      <alignment horizontal="center" vertical="center" wrapText="1"/>
    </xf>
    <xf numFmtId="175" fontId="11" fillId="0" borderId="10" xfId="63" applyNumberFormat="1" applyFont="1" applyBorder="1" applyAlignment="1">
      <alignment horizontal="center" vertical="center" wrapText="1"/>
    </xf>
    <xf numFmtId="0" fontId="0" fillId="0" borderId="17" xfId="0" applyFont="1" applyBorder="1" applyAlignment="1">
      <alignment/>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9" fillId="33" borderId="19" xfId="0" applyFont="1" applyFill="1" applyBorder="1" applyAlignment="1">
      <alignment horizontal="left" vertical="center"/>
    </xf>
    <xf numFmtId="0" fontId="19" fillId="0" borderId="0" xfId="0" applyFont="1" applyAlignment="1">
      <alignment vertical="center"/>
    </xf>
    <xf numFmtId="177" fontId="19" fillId="0" borderId="14" xfId="63" applyNumberFormat="1" applyFont="1" applyBorder="1" applyAlignment="1">
      <alignment vertical="center"/>
    </xf>
    <xf numFmtId="0" fontId="19" fillId="0" borderId="20" xfId="0" applyFont="1" applyBorder="1" applyAlignment="1">
      <alignment vertical="center"/>
    </xf>
    <xf numFmtId="0" fontId="19" fillId="34" borderId="19" xfId="0" applyFont="1" applyFill="1" applyBorder="1" applyAlignment="1">
      <alignment vertical="center"/>
    </xf>
    <xf numFmtId="177" fontId="20" fillId="34" borderId="17" xfId="63" applyNumberFormat="1" applyFont="1" applyFill="1" applyBorder="1" applyAlignment="1">
      <alignment vertical="center"/>
    </xf>
    <xf numFmtId="177" fontId="19" fillId="34" borderId="19" xfId="63" applyNumberFormat="1" applyFont="1" applyFill="1" applyBorder="1" applyAlignment="1">
      <alignment vertical="center"/>
    </xf>
    <xf numFmtId="187" fontId="19" fillId="34" borderId="17" xfId="0" applyNumberFormat="1" applyFont="1" applyFill="1" applyBorder="1" applyAlignment="1">
      <alignment vertical="center"/>
    </xf>
    <xf numFmtId="177" fontId="20" fillId="34" borderId="19" xfId="63" applyNumberFormat="1" applyFont="1" applyFill="1" applyBorder="1" applyAlignment="1">
      <alignment vertical="center"/>
    </xf>
    <xf numFmtId="186" fontId="20" fillId="34" borderId="17" xfId="52" applyNumberFormat="1" applyFont="1" applyFill="1" applyBorder="1" applyAlignment="1">
      <alignment vertical="center"/>
    </xf>
    <xf numFmtId="177" fontId="20" fillId="34" borderId="19" xfId="63" applyNumberFormat="1" applyFont="1" applyFill="1" applyBorder="1" applyAlignment="1">
      <alignment horizontal="center" vertical="center"/>
    </xf>
    <xf numFmtId="186" fontId="19" fillId="34" borderId="17" xfId="52" applyNumberFormat="1" applyFont="1" applyFill="1" applyBorder="1" applyAlignment="1">
      <alignment horizontal="center" vertical="center"/>
    </xf>
    <xf numFmtId="177" fontId="19" fillId="0" borderId="21" xfId="63" applyNumberFormat="1" applyFont="1" applyBorder="1" applyAlignment="1">
      <alignment vertical="center"/>
    </xf>
    <xf numFmtId="177" fontId="20" fillId="0" borderId="22" xfId="63" applyNumberFormat="1" applyFont="1" applyBorder="1" applyAlignment="1">
      <alignment vertical="center"/>
    </xf>
    <xf numFmtId="187" fontId="19" fillId="0" borderId="22" xfId="0" applyNumberFormat="1" applyFont="1" applyBorder="1" applyAlignment="1">
      <alignment vertical="center"/>
    </xf>
    <xf numFmtId="186" fontId="20" fillId="0" borderId="22" xfId="52" applyNumberFormat="1" applyFont="1" applyBorder="1" applyAlignment="1">
      <alignment vertical="center"/>
    </xf>
    <xf numFmtId="177" fontId="19" fillId="0" borderId="21" xfId="0" applyNumberFormat="1" applyFont="1" applyBorder="1" applyAlignment="1">
      <alignment vertical="center"/>
    </xf>
    <xf numFmtId="186" fontId="19" fillId="0" borderId="22" xfId="52" applyNumberFormat="1" applyFont="1" applyBorder="1" applyAlignment="1">
      <alignment horizontal="center" vertical="center"/>
    </xf>
    <xf numFmtId="177" fontId="19" fillId="34" borderId="21" xfId="63" applyNumberFormat="1" applyFont="1" applyFill="1" applyBorder="1" applyAlignment="1">
      <alignment vertical="center"/>
    </xf>
    <xf numFmtId="177" fontId="20" fillId="34" borderId="22" xfId="63" applyNumberFormat="1" applyFont="1" applyFill="1" applyBorder="1" applyAlignment="1">
      <alignment vertical="center"/>
    </xf>
    <xf numFmtId="187" fontId="19" fillId="34" borderId="22" xfId="52" applyNumberFormat="1" applyFont="1" applyFill="1" applyBorder="1" applyAlignment="1">
      <alignment vertical="center"/>
    </xf>
    <xf numFmtId="186" fontId="20" fillId="34" borderId="22" xfId="52" applyNumberFormat="1" applyFont="1" applyFill="1" applyBorder="1" applyAlignment="1">
      <alignment vertical="center"/>
    </xf>
    <xf numFmtId="177" fontId="19" fillId="34" borderId="21" xfId="0" applyNumberFormat="1" applyFont="1" applyFill="1" applyBorder="1" applyAlignment="1">
      <alignment vertical="center"/>
    </xf>
    <xf numFmtId="186" fontId="19" fillId="34" borderId="22" xfId="52" applyNumberFormat="1" applyFont="1" applyFill="1" applyBorder="1" applyAlignment="1">
      <alignment horizontal="center" vertical="center"/>
    </xf>
    <xf numFmtId="187" fontId="19" fillId="0" borderId="22" xfId="52" applyNumberFormat="1" applyFont="1" applyBorder="1" applyAlignment="1">
      <alignment vertical="center"/>
    </xf>
    <xf numFmtId="177" fontId="19" fillId="0" borderId="20" xfId="0" applyNumberFormat="1" applyFont="1" applyBorder="1" applyAlignment="1">
      <alignment vertical="center"/>
    </xf>
    <xf numFmtId="187" fontId="19" fillId="0" borderId="20" xfId="52" applyNumberFormat="1" applyFont="1" applyBorder="1" applyAlignment="1">
      <alignment vertical="center"/>
    </xf>
    <xf numFmtId="186" fontId="20" fillId="0" borderId="20" xfId="52" applyNumberFormat="1" applyFont="1" applyBorder="1" applyAlignment="1">
      <alignment vertical="center"/>
    </xf>
    <xf numFmtId="177" fontId="19" fillId="0" borderId="14" xfId="0" applyNumberFormat="1" applyFont="1" applyBorder="1" applyAlignment="1">
      <alignment vertical="center"/>
    </xf>
    <xf numFmtId="186" fontId="19" fillId="0" borderId="20" xfId="52" applyNumberFormat="1" applyFont="1" applyBorder="1" applyAlignment="1">
      <alignment horizontal="center" vertical="center"/>
    </xf>
    <xf numFmtId="0" fontId="19" fillId="0" borderId="0" xfId="0" applyFont="1" applyBorder="1" applyAlignment="1">
      <alignment vertical="center"/>
    </xf>
    <xf numFmtId="178" fontId="19" fillId="0" borderId="0" xfId="0" applyNumberFormat="1" applyFont="1" applyBorder="1" applyAlignment="1">
      <alignment vertical="center"/>
    </xf>
    <xf numFmtId="177" fontId="20" fillId="0" borderId="0" xfId="0" applyNumberFormat="1" applyFont="1" applyAlignment="1">
      <alignment horizontal="center" vertical="center"/>
    </xf>
    <xf numFmtId="0" fontId="20" fillId="0" borderId="0" xfId="0" applyFont="1" applyBorder="1" applyAlignment="1">
      <alignment vertical="center"/>
    </xf>
    <xf numFmtId="0" fontId="20" fillId="33" borderId="0" xfId="0" applyFont="1" applyFill="1" applyAlignment="1">
      <alignment horizontal="center" vertical="center"/>
    </xf>
    <xf numFmtId="177" fontId="19" fillId="0" borderId="0" xfId="63" applyNumberFormat="1" applyFont="1" applyAlignment="1">
      <alignment horizontal="center" vertical="center"/>
    </xf>
    <xf numFmtId="177" fontId="19" fillId="0" borderId="0" xfId="0" applyNumberFormat="1" applyFont="1" applyAlignment="1">
      <alignment vertical="center"/>
    </xf>
    <xf numFmtId="171" fontId="19" fillId="0" borderId="0" xfId="63" applyFont="1" applyAlignment="1">
      <alignment vertical="center"/>
    </xf>
    <xf numFmtId="1" fontId="20" fillId="0" borderId="0" xfId="0" applyNumberFormat="1" applyFont="1" applyBorder="1" applyAlignment="1">
      <alignment vertical="center"/>
    </xf>
    <xf numFmtId="177" fontId="20" fillId="0" borderId="0" xfId="0" applyNumberFormat="1" applyFont="1" applyBorder="1" applyAlignment="1">
      <alignment vertical="center"/>
    </xf>
    <xf numFmtId="1" fontId="20" fillId="33" borderId="0" xfId="0" applyNumberFormat="1" applyFont="1" applyFill="1" applyAlignment="1">
      <alignment horizontal="center" vertical="center"/>
    </xf>
    <xf numFmtId="171" fontId="20" fillId="0" borderId="0" xfId="0" applyNumberFormat="1" applyFont="1" applyBorder="1" applyAlignment="1">
      <alignment vertical="center"/>
    </xf>
    <xf numFmtId="0" fontId="0" fillId="0" borderId="23" xfId="0" applyFont="1" applyBorder="1" applyAlignment="1">
      <alignment vertical="center"/>
    </xf>
    <xf numFmtId="177" fontId="0" fillId="34" borderId="18" xfId="0" applyNumberFormat="1" applyFont="1" applyFill="1" applyBorder="1" applyAlignment="1">
      <alignment vertical="center"/>
    </xf>
    <xf numFmtId="177" fontId="0" fillId="34" borderId="21" xfId="0" applyNumberFormat="1" applyFont="1" applyFill="1" applyBorder="1" applyAlignment="1">
      <alignment horizontal="center" vertical="center"/>
    </xf>
    <xf numFmtId="177" fontId="0" fillId="34" borderId="22" xfId="0" applyNumberFormat="1" applyFont="1" applyFill="1" applyBorder="1" applyAlignment="1">
      <alignment horizontal="center" vertical="center"/>
    </xf>
    <xf numFmtId="177" fontId="0" fillId="34" borderId="21" xfId="63" applyNumberFormat="1" applyFont="1" applyFill="1" applyBorder="1" applyAlignment="1">
      <alignment horizontal="center" vertical="center"/>
    </xf>
    <xf numFmtId="177" fontId="0" fillId="0" borderId="18" xfId="63" applyNumberFormat="1" applyFont="1" applyBorder="1" applyAlignment="1">
      <alignment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21" xfId="63" applyNumberFormat="1" applyFont="1" applyBorder="1" applyAlignment="1">
      <alignment horizontal="center" vertical="center"/>
    </xf>
    <xf numFmtId="177" fontId="0" fillId="34" borderId="11" xfId="0" applyNumberFormat="1" applyFont="1" applyFill="1" applyBorder="1" applyAlignment="1">
      <alignment vertical="center"/>
    </xf>
    <xf numFmtId="177" fontId="0" fillId="34" borderId="14" xfId="0" applyNumberFormat="1" applyFont="1" applyFill="1" applyBorder="1" applyAlignment="1">
      <alignment horizontal="center" vertical="center"/>
    </xf>
    <xf numFmtId="177" fontId="0" fillId="34" borderId="20" xfId="0" applyNumberFormat="1" applyFont="1" applyFill="1" applyBorder="1" applyAlignment="1">
      <alignment horizontal="center" vertical="center"/>
    </xf>
    <xf numFmtId="177" fontId="0" fillId="34" borderId="14" xfId="63" applyNumberFormat="1" applyFont="1" applyFill="1" applyBorder="1" applyAlignment="1">
      <alignment horizontal="center" vertical="center"/>
    </xf>
    <xf numFmtId="188" fontId="20" fillId="0" borderId="0" xfId="63" applyNumberFormat="1" applyFont="1" applyBorder="1" applyAlignment="1">
      <alignment vertical="center"/>
    </xf>
    <xf numFmtId="0" fontId="0" fillId="0" borderId="10" xfId="0" applyFont="1" applyBorder="1" applyAlignment="1">
      <alignment horizontal="center" vertical="center"/>
    </xf>
    <xf numFmtId="177" fontId="0" fillId="34" borderId="18" xfId="0" applyNumberFormat="1" applyFont="1" applyFill="1" applyBorder="1" applyAlignment="1">
      <alignment horizontal="center" vertical="center"/>
    </xf>
    <xf numFmtId="177" fontId="0" fillId="0" borderId="18" xfId="0" applyNumberFormat="1" applyFont="1" applyBorder="1" applyAlignment="1">
      <alignment horizontal="center" vertical="center"/>
    </xf>
    <xf numFmtId="177" fontId="0" fillId="34" borderId="11" xfId="0" applyNumberFormat="1" applyFont="1" applyFill="1" applyBorder="1" applyAlignment="1">
      <alignment horizontal="center" vertical="center"/>
    </xf>
    <xf numFmtId="177" fontId="0" fillId="34" borderId="18" xfId="63" applyNumberFormat="1" applyFont="1" applyFill="1" applyBorder="1" applyAlignment="1">
      <alignment horizontal="center" vertical="center"/>
    </xf>
    <xf numFmtId="177" fontId="0" fillId="0" borderId="18" xfId="63" applyNumberFormat="1" applyFont="1" applyBorder="1" applyAlignment="1">
      <alignment horizontal="center" vertical="center"/>
    </xf>
    <xf numFmtId="177" fontId="0" fillId="34" borderId="11" xfId="63" applyNumberFormat="1" applyFont="1" applyFill="1" applyBorder="1" applyAlignment="1">
      <alignment horizontal="center" vertical="center"/>
    </xf>
    <xf numFmtId="177" fontId="0" fillId="0" borderId="21" xfId="63" applyNumberFormat="1" applyFont="1" applyFill="1" applyBorder="1" applyAlignment="1">
      <alignment horizontal="center" vertical="center"/>
    </xf>
    <xf numFmtId="177" fontId="0" fillId="0" borderId="10" xfId="63" applyNumberFormat="1" applyFont="1" applyFill="1" applyBorder="1" applyAlignment="1">
      <alignment vertical="center"/>
    </xf>
    <xf numFmtId="177" fontId="0" fillId="0" borderId="14" xfId="63" applyNumberFormat="1" applyFont="1" applyFill="1" applyBorder="1" applyAlignment="1">
      <alignment horizontal="center" vertical="center"/>
    </xf>
    <xf numFmtId="0" fontId="0" fillId="0" borderId="10" xfId="0" applyFont="1" applyFill="1" applyBorder="1" applyAlignment="1">
      <alignment vertical="center"/>
    </xf>
    <xf numFmtId="171" fontId="0" fillId="0" borderId="0" xfId="63" applyFont="1" applyFill="1" applyAlignment="1">
      <alignment horizontal="center" vertical="center"/>
    </xf>
    <xf numFmtId="174" fontId="0" fillId="0" borderId="0" xfId="63" applyNumberFormat="1"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7" fontId="0" fillId="0" borderId="0" xfId="0" applyNumberFormat="1" applyFont="1" applyFill="1" applyAlignment="1">
      <alignment horizontal="center" vertical="center"/>
    </xf>
    <xf numFmtId="187" fontId="0" fillId="0" borderId="10" xfId="0" applyNumberFormat="1" applyFont="1" applyFill="1" applyBorder="1" applyAlignment="1">
      <alignment vertical="center"/>
    </xf>
    <xf numFmtId="0" fontId="0" fillId="0" borderId="21" xfId="0" applyFont="1" applyFill="1" applyBorder="1" applyAlignment="1">
      <alignment horizontal="center" vertical="center"/>
    </xf>
    <xf numFmtId="177" fontId="0" fillId="0" borderId="22" xfId="63" applyNumberFormat="1" applyFont="1" applyFill="1" applyBorder="1" applyAlignment="1">
      <alignment vertical="center"/>
    </xf>
    <xf numFmtId="177" fontId="0" fillId="0" borderId="21" xfId="63" applyNumberFormat="1" applyFont="1" applyFill="1" applyBorder="1" applyAlignment="1">
      <alignment vertical="center"/>
    </xf>
    <xf numFmtId="187" fontId="0" fillId="0" borderId="22" xfId="0" applyNumberFormat="1" applyFont="1" applyFill="1" applyBorder="1" applyAlignment="1">
      <alignment vertical="center"/>
    </xf>
    <xf numFmtId="187" fontId="0" fillId="0" borderId="22" xfId="52" applyNumberFormat="1" applyFont="1" applyFill="1" applyBorder="1" applyAlignment="1">
      <alignment horizontal="center" vertical="center"/>
    </xf>
    <xf numFmtId="177" fontId="0" fillId="0" borderId="0" xfId="63" applyNumberFormat="1" applyFont="1" applyFill="1" applyAlignment="1">
      <alignment horizontal="center" vertical="center"/>
    </xf>
    <xf numFmtId="177" fontId="0" fillId="0" borderId="0" xfId="0" applyNumberFormat="1" applyFont="1" applyFill="1" applyAlignment="1">
      <alignment vertical="center"/>
    </xf>
    <xf numFmtId="171" fontId="0" fillId="0" borderId="0" xfId="63" applyFont="1" applyFill="1" applyAlignment="1">
      <alignment vertical="center"/>
    </xf>
    <xf numFmtId="0" fontId="0" fillId="0" borderId="10" xfId="0" applyFont="1" applyFill="1" applyBorder="1" applyAlignment="1">
      <alignment horizontal="center" vertical="center"/>
    </xf>
    <xf numFmtId="187" fontId="0" fillId="0" borderId="22" xfId="52" applyNumberFormat="1" applyFont="1" applyFill="1" applyBorder="1" applyAlignment="1">
      <alignment vertical="center"/>
    </xf>
    <xf numFmtId="177" fontId="0" fillId="0" borderId="21" xfId="0" applyNumberFormat="1" applyFont="1" applyFill="1" applyBorder="1" applyAlignment="1">
      <alignment vertical="center"/>
    </xf>
    <xf numFmtId="187" fontId="0" fillId="0" borderId="10" xfId="52" applyNumberFormat="1" applyFont="1" applyFill="1" applyBorder="1" applyAlignment="1">
      <alignment vertical="center"/>
    </xf>
    <xf numFmtId="177" fontId="0" fillId="0" borderId="0" xfId="63" applyNumberFormat="1" applyFont="1" applyFill="1" applyBorder="1" applyAlignment="1">
      <alignment vertical="center"/>
    </xf>
    <xf numFmtId="0" fontId="0" fillId="0" borderId="0" xfId="0" applyFont="1" applyFill="1" applyAlignment="1">
      <alignment horizontal="center" vertical="center"/>
    </xf>
    <xf numFmtId="177" fontId="0" fillId="0" borderId="0" xfId="63" applyNumberFormat="1" applyFont="1" applyFill="1" applyAlignment="1">
      <alignment vertical="center"/>
    </xf>
    <xf numFmtId="179" fontId="0" fillId="0" borderId="0" xfId="63" applyNumberFormat="1" applyFont="1" applyFill="1" applyAlignment="1">
      <alignment horizontal="center" vertical="center"/>
    </xf>
    <xf numFmtId="0" fontId="0" fillId="41" borderId="10" xfId="0" applyFont="1" applyFill="1" applyBorder="1" applyAlignment="1">
      <alignment horizontal="center" vertical="center"/>
    </xf>
    <xf numFmtId="177" fontId="0" fillId="41" borderId="10" xfId="63" applyNumberFormat="1" applyFont="1" applyFill="1" applyBorder="1" applyAlignment="1">
      <alignment vertical="center"/>
    </xf>
    <xf numFmtId="187" fontId="0" fillId="41" borderId="10" xfId="52" applyNumberFormat="1" applyFont="1" applyFill="1" applyBorder="1" applyAlignment="1">
      <alignment vertical="center"/>
    </xf>
    <xf numFmtId="3" fontId="0" fillId="41" borderId="10" xfId="0" applyNumberFormat="1" applyFont="1" applyFill="1" applyBorder="1" applyAlignment="1">
      <alignment horizontal="center" vertical="center"/>
    </xf>
    <xf numFmtId="171" fontId="86" fillId="0" borderId="0" xfId="63" applyFont="1" applyFill="1" applyAlignment="1">
      <alignment vertical="center"/>
    </xf>
    <xf numFmtId="177" fontId="21" fillId="0" borderId="0" xfId="63" applyNumberFormat="1" applyFont="1" applyFill="1" applyBorder="1" applyAlignment="1">
      <alignment vertical="center"/>
    </xf>
    <xf numFmtId="171" fontId="0" fillId="0" borderId="0" xfId="63" applyFont="1" applyFill="1" applyBorder="1" applyAlignment="1">
      <alignment vertical="center"/>
    </xf>
    <xf numFmtId="171" fontId="0" fillId="0" borderId="0" xfId="0" applyNumberFormat="1" applyFont="1" applyFill="1" applyBorder="1" applyAlignment="1">
      <alignment vertical="center"/>
    </xf>
    <xf numFmtId="187" fontId="0" fillId="0" borderId="0" xfId="52" applyNumberFormat="1" applyFont="1" applyFill="1" applyBorder="1" applyAlignment="1">
      <alignment vertical="center"/>
    </xf>
    <xf numFmtId="177" fontId="0" fillId="0" borderId="0" xfId="0" applyNumberFormat="1" applyAlignment="1">
      <alignment/>
    </xf>
    <xf numFmtId="4" fontId="23" fillId="0" borderId="10" xfId="50" applyNumberFormat="1" applyFont="1" applyBorder="1" applyAlignment="1">
      <alignment horizontal="center"/>
      <protection/>
    </xf>
    <xf numFmtId="0" fontId="22" fillId="0" borderId="0" xfId="50">
      <alignment/>
      <protection/>
    </xf>
    <xf numFmtId="4" fontId="22" fillId="0" borderId="10" xfId="50" applyNumberFormat="1" applyBorder="1" applyAlignment="1">
      <alignment horizontal="center" vertical="center"/>
      <protection/>
    </xf>
    <xf numFmtId="4" fontId="22" fillId="0" borderId="10" xfId="50" applyNumberFormat="1" applyBorder="1">
      <alignment/>
      <protection/>
    </xf>
    <xf numFmtId="4" fontId="22" fillId="0" borderId="10" xfId="50" applyNumberFormat="1" applyBorder="1" applyAlignment="1">
      <alignment wrapText="1"/>
      <protection/>
    </xf>
    <xf numFmtId="4" fontId="22" fillId="0" borderId="0" xfId="50" applyNumberFormat="1" applyBorder="1">
      <alignment/>
      <protection/>
    </xf>
    <xf numFmtId="4" fontId="22" fillId="0" borderId="0" xfId="50" applyNumberFormat="1" applyBorder="1" applyAlignment="1">
      <alignment wrapText="1"/>
      <protection/>
    </xf>
    <xf numFmtId="4" fontId="22" fillId="0" borderId="0" xfId="50" applyNumberFormat="1">
      <alignment/>
      <protection/>
    </xf>
    <xf numFmtId="4" fontId="22" fillId="40" borderId="10" xfId="50" applyNumberFormat="1" applyFill="1" applyBorder="1">
      <alignment/>
      <protection/>
    </xf>
    <xf numFmtId="4" fontId="23" fillId="0" borderId="10" xfId="50" applyNumberFormat="1" applyFont="1" applyBorder="1">
      <alignment/>
      <protection/>
    </xf>
    <xf numFmtId="184" fontId="24" fillId="0" borderId="0" xfId="50" applyNumberFormat="1" applyFont="1">
      <alignment/>
      <protection/>
    </xf>
    <xf numFmtId="184" fontId="22" fillId="0" borderId="0" xfId="50" applyNumberFormat="1">
      <alignment/>
      <protection/>
    </xf>
    <xf numFmtId="177" fontId="86" fillId="0" borderId="22" xfId="63" applyNumberFormat="1" applyFont="1" applyFill="1" applyBorder="1" applyAlignment="1">
      <alignment vertical="center"/>
    </xf>
    <xf numFmtId="177" fontId="0" fillId="0" borderId="22" xfId="63" applyNumberFormat="1" applyFont="1" applyFill="1" applyBorder="1" applyAlignment="1">
      <alignment horizontal="left" vertical="center"/>
    </xf>
    <xf numFmtId="174" fontId="0" fillId="0" borderId="20" xfId="63" applyNumberFormat="1" applyFont="1" applyFill="1" applyBorder="1" applyAlignment="1">
      <alignment horizontal="center" vertical="center"/>
    </xf>
    <xf numFmtId="177" fontId="0" fillId="42" borderId="22" xfId="63" applyNumberFormat="1" applyFont="1" applyFill="1" applyBorder="1" applyAlignment="1">
      <alignment horizontal="left" vertical="center"/>
    </xf>
    <xf numFmtId="4" fontId="0" fillId="41" borderId="10" xfId="0" applyNumberFormat="1" applyFont="1" applyFill="1" applyBorder="1" applyAlignment="1">
      <alignment horizontal="center" vertical="center"/>
    </xf>
    <xf numFmtId="177" fontId="0" fillId="10" borderId="10" xfId="63" applyNumberFormat="1" applyFont="1" applyFill="1" applyBorder="1" applyAlignment="1">
      <alignment vertical="center"/>
    </xf>
    <xf numFmtId="187" fontId="0" fillId="10" borderId="10" xfId="52" applyNumberFormat="1" applyFont="1" applyFill="1" applyBorder="1" applyAlignment="1">
      <alignment vertical="center"/>
    </xf>
    <xf numFmtId="187" fontId="0" fillId="10" borderId="10" xfId="0" applyNumberFormat="1" applyFont="1" applyFill="1" applyBorder="1" applyAlignment="1">
      <alignment vertical="center"/>
    </xf>
    <xf numFmtId="0" fontId="0" fillId="0" borderId="0" xfId="0" applyAlignment="1">
      <alignment horizontal="center" vertical="center"/>
    </xf>
    <xf numFmtId="0" fontId="0" fillId="6" borderId="10" xfId="0" applyFont="1" applyFill="1" applyBorder="1" applyAlignment="1">
      <alignment vertical="center"/>
    </xf>
    <xf numFmtId="177" fontId="0" fillId="6" borderId="10" xfId="63" applyNumberFormat="1" applyFont="1" applyFill="1" applyBorder="1" applyAlignment="1">
      <alignment vertical="center"/>
    </xf>
    <xf numFmtId="171" fontId="22" fillId="19" borderId="10" xfId="63" applyFont="1" applyFill="1" applyBorder="1" applyAlignment="1">
      <alignment/>
    </xf>
    <xf numFmtId="171" fontId="22" fillId="7" borderId="10" xfId="63" applyFont="1" applyFill="1" applyBorder="1" applyAlignment="1">
      <alignment/>
    </xf>
    <xf numFmtId="0" fontId="0" fillId="13" borderId="19" xfId="0" applyFill="1" applyBorder="1" applyAlignment="1">
      <alignment horizontal="center" vertical="center"/>
    </xf>
    <xf numFmtId="0" fontId="0" fillId="13" borderId="17" xfId="0" applyFill="1" applyBorder="1" applyAlignment="1">
      <alignment horizontal="center" vertical="center"/>
    </xf>
    <xf numFmtId="171" fontId="0" fillId="13" borderId="21" xfId="63" applyFont="1" applyFill="1" applyBorder="1" applyAlignment="1">
      <alignment horizontal="center" vertical="center"/>
    </xf>
    <xf numFmtId="171" fontId="0" fillId="13" borderId="22" xfId="63" applyFont="1" applyFill="1" applyBorder="1" applyAlignment="1">
      <alignment horizontal="center" vertical="center"/>
    </xf>
    <xf numFmtId="171" fontId="0" fillId="13" borderId="14" xfId="63" applyFont="1" applyFill="1" applyBorder="1" applyAlignment="1">
      <alignment horizontal="center" vertical="center"/>
    </xf>
    <xf numFmtId="171" fontId="0" fillId="13" borderId="20" xfId="63" applyFont="1" applyFill="1" applyBorder="1" applyAlignment="1">
      <alignment horizontal="center" vertical="center"/>
    </xf>
    <xf numFmtId="0" fontId="86" fillId="7" borderId="19" xfId="0" applyFont="1" applyFill="1" applyBorder="1" applyAlignment="1">
      <alignment horizontal="center" vertical="center"/>
    </xf>
    <xf numFmtId="0" fontId="87" fillId="7" borderId="17" xfId="0" applyFont="1" applyFill="1" applyBorder="1" applyAlignment="1">
      <alignment horizontal="center" vertical="center"/>
    </xf>
    <xf numFmtId="171" fontId="86" fillId="7" borderId="21" xfId="63" applyFont="1" applyFill="1" applyBorder="1" applyAlignment="1">
      <alignment horizontal="center" vertical="center"/>
    </xf>
    <xf numFmtId="171" fontId="87" fillId="7" borderId="22" xfId="63" applyFont="1" applyFill="1" applyBorder="1" applyAlignment="1">
      <alignment horizontal="center" vertical="center"/>
    </xf>
    <xf numFmtId="171" fontId="86" fillId="7" borderId="14" xfId="63" applyFont="1" applyFill="1" applyBorder="1" applyAlignment="1">
      <alignment horizontal="center" vertical="center"/>
    </xf>
    <xf numFmtId="171" fontId="87" fillId="7" borderId="20" xfId="63" applyFont="1"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171" fontId="0" fillId="0" borderId="0" xfId="63" applyFont="1" applyFill="1" applyBorder="1" applyAlignment="1">
      <alignment horizontal="center" vertical="center"/>
    </xf>
    <xf numFmtId="177" fontId="0" fillId="0" borderId="21" xfId="63" applyNumberFormat="1" applyFont="1" applyBorder="1" applyAlignment="1">
      <alignment horizontal="center" vertical="center"/>
    </xf>
    <xf numFmtId="171" fontId="0" fillId="0" borderId="0" xfId="63" applyFont="1" applyBorder="1" applyAlignment="1">
      <alignment horizontal="center" vertical="center"/>
    </xf>
    <xf numFmtId="177" fontId="0" fillId="0" borderId="21" xfId="0" applyNumberFormat="1" applyBorder="1" applyAlignment="1">
      <alignment horizontal="center" vertical="center"/>
    </xf>
    <xf numFmtId="171" fontId="0" fillId="0" borderId="24" xfId="63" applyFont="1" applyBorder="1" applyAlignment="1">
      <alignment horizontal="center" vertical="center"/>
    </xf>
    <xf numFmtId="171" fontId="0" fillId="0" borderId="24" xfId="63" applyFont="1" applyFill="1" applyBorder="1" applyAlignment="1">
      <alignment horizontal="center" vertical="center"/>
    </xf>
    <xf numFmtId="171" fontId="0" fillId="0" borderId="10" xfId="63" applyFont="1" applyFill="1" applyBorder="1" applyAlignment="1">
      <alignment vertical="center"/>
    </xf>
    <xf numFmtId="4" fontId="22" fillId="0" borderId="10" xfId="50" applyNumberFormat="1" applyBorder="1" applyAlignment="1">
      <alignment vertical="center"/>
      <protection/>
    </xf>
    <xf numFmtId="4" fontId="22" fillId="40" borderId="10" xfId="50" applyNumberFormat="1" applyFill="1" applyBorder="1" applyAlignment="1">
      <alignment vertical="center"/>
      <protection/>
    </xf>
    <xf numFmtId="4" fontId="23" fillId="0" borderId="10" xfId="50" applyNumberFormat="1" applyFont="1" applyBorder="1" applyAlignment="1">
      <alignment vertical="center"/>
      <protection/>
    </xf>
    <xf numFmtId="187" fontId="0" fillId="41" borderId="10" xfId="0" applyNumberFormat="1" applyFont="1" applyFill="1" applyBorder="1" applyAlignment="1">
      <alignment horizontal="center" vertical="center"/>
    </xf>
    <xf numFmtId="187" fontId="0" fillId="0" borderId="10" xfId="52" applyNumberFormat="1" applyFont="1" applyFill="1" applyBorder="1" applyAlignment="1">
      <alignment horizontal="center" vertical="center"/>
    </xf>
    <xf numFmtId="0" fontId="0" fillId="0" borderId="19" xfId="0" applyBorder="1" applyAlignment="1">
      <alignment/>
    </xf>
    <xf numFmtId="177" fontId="0" fillId="0" borderId="17" xfId="63" applyNumberFormat="1" applyFont="1" applyFill="1" applyBorder="1" applyAlignment="1">
      <alignment horizontal="center" vertical="center"/>
    </xf>
    <xf numFmtId="0" fontId="0" fillId="0" borderId="21" xfId="0" applyBorder="1" applyAlignment="1">
      <alignment/>
    </xf>
    <xf numFmtId="177" fontId="0" fillId="0" borderId="22" xfId="63" applyNumberFormat="1" applyFont="1" applyFill="1" applyBorder="1" applyAlignment="1">
      <alignment horizontal="center" vertical="center"/>
    </xf>
    <xf numFmtId="177" fontId="0" fillId="42" borderId="21" xfId="63" applyNumberFormat="1" applyFont="1" applyFill="1" applyBorder="1" applyAlignment="1">
      <alignment horizontal="center" vertical="center"/>
    </xf>
    <xf numFmtId="177" fontId="0" fillId="0" borderId="14" xfId="63" applyNumberFormat="1" applyFont="1" applyFill="1" applyBorder="1" applyAlignment="1">
      <alignment vertical="center"/>
    </xf>
    <xf numFmtId="186" fontId="0" fillId="0" borderId="10" xfId="52" applyNumberFormat="1" applyFont="1" applyFill="1" applyBorder="1" applyAlignment="1">
      <alignment horizontal="center" vertical="center"/>
    </xf>
    <xf numFmtId="186" fontId="0" fillId="41" borderId="10" xfId="52" applyNumberFormat="1" applyFont="1" applyFill="1" applyBorder="1" applyAlignment="1">
      <alignment horizontal="center" vertical="center"/>
    </xf>
    <xf numFmtId="177" fontId="0" fillId="0" borderId="20" xfId="63" applyNumberFormat="1" applyFont="1" applyFill="1" applyBorder="1" applyAlignment="1">
      <alignment horizontal="left" vertical="center"/>
    </xf>
    <xf numFmtId="177" fontId="0" fillId="0" borderId="0" xfId="0" applyNumberFormat="1" applyFont="1" applyFill="1" applyBorder="1" applyAlignment="1">
      <alignment vertical="center"/>
    </xf>
    <xf numFmtId="43" fontId="0" fillId="0" borderId="0" xfId="0" applyNumberFormat="1" applyFont="1" applyFill="1" applyAlignment="1">
      <alignment vertical="center"/>
    </xf>
    <xf numFmtId="0" fontId="0" fillId="42" borderId="19" xfId="0" applyFill="1" applyBorder="1" applyAlignment="1">
      <alignment/>
    </xf>
    <xf numFmtId="177" fontId="0" fillId="42" borderId="17" xfId="63" applyNumberFormat="1" applyFont="1" applyFill="1" applyBorder="1" applyAlignment="1">
      <alignment horizontal="center" vertical="center"/>
    </xf>
    <xf numFmtId="0" fontId="0" fillId="42" borderId="21" xfId="0" applyFill="1" applyBorder="1" applyAlignment="1">
      <alignment/>
    </xf>
    <xf numFmtId="177" fontId="0" fillId="42" borderId="22" xfId="63" applyNumberFormat="1" applyFont="1" applyFill="1" applyBorder="1" applyAlignment="1">
      <alignment horizontal="center" vertical="center"/>
    </xf>
    <xf numFmtId="3" fontId="22" fillId="40" borderId="10" xfId="50" applyNumberFormat="1" applyFill="1" applyBorder="1" applyAlignment="1">
      <alignment vertical="center"/>
      <protection/>
    </xf>
    <xf numFmtId="4" fontId="25" fillId="0" borderId="10" xfId="50" applyNumberFormat="1" applyFont="1" applyBorder="1" applyAlignment="1">
      <alignment vertical="center"/>
      <protection/>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171" fontId="2" fillId="0" borderId="10" xfId="63" applyFont="1" applyFill="1" applyBorder="1" applyAlignment="1">
      <alignment vertical="center"/>
    </xf>
    <xf numFmtId="174" fontId="0" fillId="0" borderId="10" xfId="63" applyNumberFormat="1"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Alignment="1">
      <alignment/>
    </xf>
    <xf numFmtId="0" fontId="26" fillId="0" borderId="0"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xf>
    <xf numFmtId="0" fontId="26" fillId="0" borderId="0" xfId="0" applyFont="1" applyFill="1" applyAlignment="1">
      <alignment horizontal="center"/>
    </xf>
    <xf numFmtId="0" fontId="26" fillId="43" borderId="0" xfId="0" applyFont="1" applyFill="1" applyAlignment="1">
      <alignment/>
    </xf>
    <xf numFmtId="0" fontId="26" fillId="0" borderId="10" xfId="0" applyFont="1" applyFill="1" applyBorder="1" applyAlignment="1">
      <alignment horizontal="center" vertical="center"/>
    </xf>
    <xf numFmtId="177" fontId="26" fillId="0" borderId="10" xfId="63" applyNumberFormat="1"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177" fontId="26" fillId="0" borderId="10" xfId="0" applyNumberFormat="1" applyFont="1" applyFill="1" applyBorder="1" applyAlignment="1">
      <alignment horizontal="center" vertical="center"/>
    </xf>
    <xf numFmtId="177" fontId="26" fillId="0" borderId="17" xfId="0" applyNumberFormat="1" applyFont="1" applyFill="1" applyBorder="1" applyAlignment="1">
      <alignment horizontal="center" vertical="center"/>
    </xf>
    <xf numFmtId="177" fontId="26" fillId="0" borderId="0" xfId="0" applyNumberFormat="1" applyFont="1" applyFill="1" applyAlignment="1">
      <alignment horizontal="center" vertical="center"/>
    </xf>
    <xf numFmtId="0" fontId="26" fillId="0" borderId="0" xfId="0" applyFont="1" applyFill="1" applyAlignment="1">
      <alignment horizontal="center" vertical="center"/>
    </xf>
    <xf numFmtId="177" fontId="26" fillId="0" borderId="18" xfId="63" applyNumberFormat="1" applyFont="1" applyFill="1" applyBorder="1" applyAlignment="1">
      <alignment vertical="center"/>
    </xf>
    <xf numFmtId="177" fontId="26" fillId="0" borderId="22" xfId="63" applyNumberFormat="1" applyFont="1" applyFill="1" applyBorder="1" applyAlignment="1">
      <alignment vertical="center"/>
    </xf>
    <xf numFmtId="177" fontId="26" fillId="0" borderId="10" xfId="63" applyNumberFormat="1" applyFont="1" applyFill="1" applyBorder="1" applyAlignment="1">
      <alignment vertical="center"/>
    </xf>
    <xf numFmtId="187" fontId="26" fillId="0" borderId="10" xfId="0" applyNumberFormat="1" applyFont="1" applyFill="1" applyBorder="1" applyAlignment="1">
      <alignment vertical="center"/>
    </xf>
    <xf numFmtId="177" fontId="26" fillId="0" borderId="0" xfId="63" applyNumberFormat="1" applyFont="1" applyFill="1" applyAlignment="1">
      <alignment horizontal="center" vertical="center"/>
    </xf>
    <xf numFmtId="187" fontId="88" fillId="0" borderId="22" xfId="0" applyNumberFormat="1" applyFont="1" applyFill="1" applyBorder="1" applyAlignment="1">
      <alignment vertical="center"/>
    </xf>
    <xf numFmtId="177" fontId="88" fillId="0" borderId="0" xfId="63" applyNumberFormat="1" applyFont="1" applyFill="1" applyAlignment="1">
      <alignment horizontal="center" vertical="center"/>
    </xf>
    <xf numFmtId="187" fontId="88" fillId="0" borderId="22" xfId="52" applyNumberFormat="1" applyFont="1" applyFill="1" applyBorder="1" applyAlignment="1">
      <alignment horizontal="center" vertical="center"/>
    </xf>
    <xf numFmtId="177" fontId="26" fillId="0" borderId="18" xfId="0" applyNumberFormat="1" applyFont="1" applyFill="1" applyBorder="1" applyAlignment="1">
      <alignment vertical="center"/>
    </xf>
    <xf numFmtId="37" fontId="26" fillId="0" borderId="18" xfId="0" applyNumberFormat="1" applyFont="1" applyFill="1" applyBorder="1" applyAlignment="1">
      <alignment horizontal="center" vertical="center"/>
    </xf>
    <xf numFmtId="37" fontId="26" fillId="0" borderId="22" xfId="0" applyNumberFormat="1" applyFont="1" applyFill="1" applyBorder="1" applyAlignment="1">
      <alignment horizontal="center" vertical="center"/>
    </xf>
    <xf numFmtId="37" fontId="26" fillId="0" borderId="0" xfId="0" applyNumberFormat="1" applyFont="1" applyFill="1" applyAlignment="1">
      <alignment vertical="center"/>
    </xf>
    <xf numFmtId="171" fontId="26" fillId="0" borderId="0" xfId="63" applyFont="1" applyFill="1" applyAlignment="1">
      <alignment vertical="center"/>
    </xf>
    <xf numFmtId="187" fontId="26" fillId="0" borderId="22" xfId="0" applyNumberFormat="1" applyFont="1" applyFill="1" applyBorder="1" applyAlignment="1">
      <alignment vertical="center"/>
    </xf>
    <xf numFmtId="187" fontId="26" fillId="0" borderId="22" xfId="52" applyNumberFormat="1" applyFont="1" applyFill="1" applyBorder="1" applyAlignment="1">
      <alignment horizontal="center" vertical="center"/>
    </xf>
    <xf numFmtId="0" fontId="26" fillId="0" borderId="21" xfId="0" applyFont="1" applyFill="1" applyBorder="1" applyAlignment="1">
      <alignment horizontal="center" vertical="center"/>
    </xf>
    <xf numFmtId="177" fontId="26" fillId="0" borderId="21" xfId="63" applyNumberFormat="1" applyFont="1" applyFill="1" applyBorder="1" applyAlignment="1">
      <alignment vertical="center"/>
    </xf>
    <xf numFmtId="177" fontId="26" fillId="0" borderId="21" xfId="63" applyNumberFormat="1" applyFont="1" applyFill="1" applyBorder="1" applyAlignment="1">
      <alignment horizontal="center" vertical="center"/>
    </xf>
    <xf numFmtId="177" fontId="26" fillId="0" borderId="0" xfId="0" applyNumberFormat="1" applyFont="1" applyFill="1" applyAlignment="1">
      <alignment vertical="center"/>
    </xf>
    <xf numFmtId="37" fontId="26" fillId="0" borderId="0" xfId="0" applyNumberFormat="1" applyFont="1" applyFill="1" applyAlignment="1">
      <alignment horizontal="center" vertical="center"/>
    </xf>
    <xf numFmtId="37" fontId="26" fillId="0" borderId="18" xfId="63" applyNumberFormat="1" applyFont="1" applyFill="1" applyBorder="1" applyAlignment="1">
      <alignment horizontal="center" vertical="center"/>
    </xf>
    <xf numFmtId="187" fontId="26" fillId="0" borderId="22" xfId="52" applyNumberFormat="1" applyFont="1" applyFill="1" applyBorder="1" applyAlignment="1">
      <alignment vertical="center"/>
    </xf>
    <xf numFmtId="177" fontId="26" fillId="0" borderId="21" xfId="0" applyNumberFormat="1" applyFont="1" applyFill="1" applyBorder="1" applyAlignment="1">
      <alignment vertical="center"/>
    </xf>
    <xf numFmtId="37" fontId="26" fillId="0" borderId="0" xfId="63" applyNumberFormat="1" applyFont="1" applyFill="1" applyAlignment="1">
      <alignment horizontal="center" vertical="center"/>
    </xf>
    <xf numFmtId="187" fontId="26" fillId="0" borderId="10" xfId="52" applyNumberFormat="1" applyFont="1" applyFill="1" applyBorder="1" applyAlignment="1">
      <alignment vertical="center"/>
    </xf>
    <xf numFmtId="177" fontId="89" fillId="0" borderId="22" xfId="63" applyNumberFormat="1" applyFont="1" applyFill="1" applyBorder="1" applyAlignment="1">
      <alignment vertical="center"/>
    </xf>
    <xf numFmtId="177" fontId="90" fillId="0" borderId="18" xfId="63" applyNumberFormat="1" applyFont="1" applyFill="1" applyBorder="1" applyAlignment="1">
      <alignment horizontal="center" vertical="center"/>
    </xf>
    <xf numFmtId="177" fontId="26" fillId="0" borderId="22" xfId="0" applyNumberFormat="1" applyFont="1" applyFill="1" applyBorder="1" applyAlignment="1">
      <alignment horizontal="center" vertical="center"/>
    </xf>
    <xf numFmtId="177" fontId="89" fillId="0" borderId="21" xfId="63" applyNumberFormat="1" applyFont="1" applyFill="1" applyBorder="1" applyAlignment="1">
      <alignment vertical="center"/>
    </xf>
    <xf numFmtId="187" fontId="89" fillId="0" borderId="22" xfId="0" applyNumberFormat="1" applyFont="1" applyFill="1" applyBorder="1" applyAlignment="1">
      <alignment vertical="center"/>
    </xf>
    <xf numFmtId="177" fontId="89" fillId="0" borderId="21" xfId="0" applyNumberFormat="1" applyFont="1" applyFill="1" applyBorder="1" applyAlignment="1">
      <alignment vertical="center"/>
    </xf>
    <xf numFmtId="187" fontId="89" fillId="0" borderId="22" xfId="52" applyNumberFormat="1" applyFont="1" applyFill="1" applyBorder="1" applyAlignment="1">
      <alignment horizontal="center" vertical="center"/>
    </xf>
    <xf numFmtId="177" fontId="90" fillId="0" borderId="0" xfId="63" applyNumberFormat="1" applyFont="1" applyFill="1" applyAlignment="1">
      <alignment horizontal="center" vertical="center"/>
    </xf>
    <xf numFmtId="177" fontId="89" fillId="0" borderId="0" xfId="63" applyNumberFormat="1" applyFont="1" applyAlignment="1">
      <alignment/>
    </xf>
    <xf numFmtId="0" fontId="89" fillId="0" borderId="0" xfId="0" applyFont="1" applyAlignment="1">
      <alignment/>
    </xf>
    <xf numFmtId="0" fontId="89" fillId="0" borderId="18" xfId="0" applyFont="1" applyBorder="1" applyAlignment="1">
      <alignment/>
    </xf>
    <xf numFmtId="187" fontId="26" fillId="0" borderId="0" xfId="0" applyNumberFormat="1" applyFont="1" applyAlignment="1">
      <alignment/>
    </xf>
    <xf numFmtId="0" fontId="89" fillId="0" borderId="0" xfId="0" applyFont="1" applyFill="1" applyBorder="1" applyAlignment="1">
      <alignment vertical="center"/>
    </xf>
    <xf numFmtId="177" fontId="26" fillId="0" borderId="0" xfId="63" applyNumberFormat="1" applyFont="1" applyFill="1" applyBorder="1" applyAlignment="1">
      <alignment vertical="center"/>
    </xf>
    <xf numFmtId="187" fontId="26" fillId="0" borderId="0" xfId="52" applyNumberFormat="1" applyFont="1" applyFill="1" applyBorder="1" applyAlignment="1">
      <alignment vertical="center"/>
    </xf>
    <xf numFmtId="187" fontId="89"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0" fontId="89" fillId="0" borderId="0" xfId="0" applyFont="1" applyBorder="1" applyAlignment="1">
      <alignment/>
    </xf>
    <xf numFmtId="177" fontId="89" fillId="0" borderId="0" xfId="0" applyNumberFormat="1" applyFont="1" applyAlignment="1">
      <alignment/>
    </xf>
    <xf numFmtId="177" fontId="91" fillId="0" borderId="0" xfId="63" applyNumberFormat="1" applyFont="1" applyFill="1" applyBorder="1" applyAlignment="1">
      <alignment vertical="center"/>
    </xf>
    <xf numFmtId="0" fontId="26" fillId="0" borderId="10" xfId="0" applyFont="1" applyFill="1" applyBorder="1" applyAlignment="1">
      <alignment vertical="center"/>
    </xf>
    <xf numFmtId="177" fontId="27" fillId="0" borderId="10" xfId="63" applyNumberFormat="1" applyFont="1" applyFill="1" applyBorder="1" applyAlignment="1">
      <alignment vertical="center"/>
    </xf>
    <xf numFmtId="171" fontId="26" fillId="7" borderId="10" xfId="63" applyNumberFormat="1" applyFont="1" applyFill="1" applyBorder="1" applyAlignment="1">
      <alignment vertical="center"/>
    </xf>
    <xf numFmtId="171" fontId="88" fillId="7" borderId="10" xfId="63" applyFont="1" applyFill="1" applyBorder="1" applyAlignment="1">
      <alignment vertical="center"/>
    </xf>
    <xf numFmtId="171" fontId="88" fillId="7" borderId="10" xfId="0" applyNumberFormat="1" applyFont="1" applyFill="1" applyBorder="1" applyAlignment="1">
      <alignment horizontal="center" vertical="center"/>
    </xf>
    <xf numFmtId="171" fontId="26" fillId="7" borderId="10" xfId="63" applyFont="1" applyFill="1" applyBorder="1" applyAlignment="1">
      <alignment vertical="center"/>
    </xf>
    <xf numFmtId="4" fontId="26" fillId="0" borderId="10" xfId="50" applyNumberFormat="1" applyFont="1" applyBorder="1" applyAlignment="1">
      <alignment vertical="center"/>
      <protection/>
    </xf>
    <xf numFmtId="4" fontId="28" fillId="0" borderId="10" xfId="50" applyNumberFormat="1" applyFont="1" applyBorder="1" applyAlignment="1">
      <alignment horizontal="center" vertical="center"/>
      <protection/>
    </xf>
    <xf numFmtId="4" fontId="28" fillId="0" borderId="10" xfId="50" applyNumberFormat="1" applyFont="1" applyBorder="1" applyAlignment="1">
      <alignment vertical="center"/>
      <protection/>
    </xf>
    <xf numFmtId="4" fontId="26" fillId="0" borderId="10" xfId="0" applyNumberFormat="1" applyFont="1" applyFill="1" applyBorder="1" applyAlignment="1">
      <alignment vertical="center"/>
    </xf>
    <xf numFmtId="0" fontId="26" fillId="0" borderId="15" xfId="0" applyFont="1" applyFill="1" applyBorder="1" applyAlignment="1">
      <alignment vertical="center"/>
    </xf>
    <xf numFmtId="0" fontId="26" fillId="0" borderId="16" xfId="0" applyFont="1" applyFill="1" applyBorder="1" applyAlignment="1">
      <alignment vertical="center"/>
    </xf>
    <xf numFmtId="171" fontId="26" fillId="19" borderId="10" xfId="63" applyNumberFormat="1" applyFont="1" applyFill="1" applyBorder="1" applyAlignment="1">
      <alignment vertical="center"/>
    </xf>
    <xf numFmtId="171" fontId="26" fillId="19" borderId="10" xfId="63" applyFont="1" applyFill="1" applyBorder="1" applyAlignment="1">
      <alignment vertical="center"/>
    </xf>
    <xf numFmtId="171" fontId="26" fillId="19" borderId="10" xfId="0" applyNumberFormat="1" applyFont="1" applyFill="1" applyBorder="1" applyAlignment="1">
      <alignment horizontal="center" vertical="center"/>
    </xf>
    <xf numFmtId="171" fontId="26" fillId="0" borderId="0" xfId="0" applyNumberFormat="1" applyFont="1" applyFill="1" applyBorder="1" applyAlignment="1">
      <alignment vertical="center"/>
    </xf>
    <xf numFmtId="177" fontId="26" fillId="0" borderId="0" xfId="0" applyNumberFormat="1" applyFont="1" applyAlignment="1">
      <alignment/>
    </xf>
    <xf numFmtId="175" fontId="26" fillId="0" borderId="0" xfId="0" applyNumberFormat="1" applyFont="1" applyAlignment="1">
      <alignment/>
    </xf>
    <xf numFmtId="177" fontId="27" fillId="0" borderId="0" xfId="63" applyNumberFormat="1" applyFont="1" applyFill="1" applyAlignment="1">
      <alignment/>
    </xf>
    <xf numFmtId="171" fontId="26" fillId="0" borderId="0" xfId="0" applyNumberFormat="1" applyFont="1" applyFill="1" applyAlignment="1">
      <alignment/>
    </xf>
    <xf numFmtId="177" fontId="89" fillId="0" borderId="0" xfId="63" applyNumberFormat="1" applyFont="1" applyFill="1" applyAlignment="1">
      <alignment horizontal="center" vertical="center"/>
    </xf>
    <xf numFmtId="177" fontId="89" fillId="0" borderId="18" xfId="63" applyNumberFormat="1" applyFont="1" applyFill="1" applyBorder="1" applyAlignment="1">
      <alignment horizontal="center" vertical="center"/>
    </xf>
    <xf numFmtId="0" fontId="26" fillId="0" borderId="18" xfId="0" applyFont="1" applyFill="1" applyBorder="1" applyAlignment="1">
      <alignment vertical="center"/>
    </xf>
    <xf numFmtId="10" fontId="89" fillId="0" borderId="18" xfId="52" applyNumberFormat="1" applyFont="1" applyFill="1" applyBorder="1" applyAlignment="1">
      <alignment vertical="center"/>
    </xf>
    <xf numFmtId="10" fontId="89" fillId="0" borderId="0" xfId="52" applyNumberFormat="1" applyFont="1" applyFill="1" applyBorder="1" applyAlignment="1">
      <alignment vertical="center"/>
    </xf>
    <xf numFmtId="187" fontId="89" fillId="0" borderId="0" xfId="52" applyNumberFormat="1" applyFont="1" applyFill="1" applyBorder="1" applyAlignment="1">
      <alignment horizontal="center" vertical="center"/>
    </xf>
    <xf numFmtId="177" fontId="26" fillId="0" borderId="0" xfId="0" applyNumberFormat="1" applyFont="1" applyFill="1" applyBorder="1" applyAlignment="1">
      <alignment horizontal="center" vertical="center"/>
    </xf>
    <xf numFmtId="3" fontId="26" fillId="40" borderId="10" xfId="50" applyNumberFormat="1" applyFont="1" applyFill="1" applyBorder="1" applyAlignment="1">
      <alignment vertical="center"/>
      <protection/>
    </xf>
    <xf numFmtId="0" fontId="26" fillId="0" borderId="0" xfId="0" applyFont="1" applyAlignment="1">
      <alignment vertical="center"/>
    </xf>
    <xf numFmtId="0" fontId="89" fillId="0" borderId="0" xfId="0" applyFont="1" applyAlignment="1">
      <alignment vertical="center"/>
    </xf>
    <xf numFmtId="187" fontId="26" fillId="0" borderId="0" xfId="0" applyNumberFormat="1" applyFont="1" applyAlignment="1">
      <alignment vertical="center"/>
    </xf>
    <xf numFmtId="0" fontId="26" fillId="43" borderId="0" xfId="0" applyFont="1" applyFill="1" applyAlignment="1">
      <alignment vertical="center"/>
    </xf>
    <xf numFmtId="177" fontId="89" fillId="0" borderId="0" xfId="63" applyNumberFormat="1" applyFont="1" applyAlignment="1">
      <alignment vertical="center"/>
    </xf>
    <xf numFmtId="171" fontId="26" fillId="0" borderId="0" xfId="0" applyNumberFormat="1" applyFont="1" applyFill="1" applyAlignment="1">
      <alignment vertical="center"/>
    </xf>
    <xf numFmtId="177" fontId="26" fillId="0" borderId="18" xfId="0" applyNumberFormat="1" applyFont="1" applyFill="1" applyBorder="1" applyAlignment="1">
      <alignment horizontal="center" vertical="center"/>
    </xf>
    <xf numFmtId="177" fontId="89" fillId="0" borderId="0" xfId="0" applyNumberFormat="1" applyFont="1" applyFill="1" applyAlignment="1">
      <alignment vertical="center"/>
    </xf>
    <xf numFmtId="175" fontId="89" fillId="0" borderId="0" xfId="0" applyNumberFormat="1" applyFont="1" applyAlignment="1">
      <alignment/>
    </xf>
    <xf numFmtId="177" fontId="27" fillId="0" borderId="0" xfId="63" applyNumberFormat="1" applyFont="1" applyFill="1" applyAlignment="1">
      <alignment vertical="center"/>
    </xf>
    <xf numFmtId="171" fontId="26" fillId="7" borderId="10" xfId="0" applyNumberFormat="1" applyFont="1" applyFill="1" applyBorder="1" applyAlignment="1">
      <alignment horizontal="center" vertical="center"/>
    </xf>
    <xf numFmtId="0" fontId="89" fillId="0" borderId="0" xfId="0" applyFont="1" applyBorder="1" applyAlignment="1">
      <alignment vertical="center"/>
    </xf>
    <xf numFmtId="175" fontId="89" fillId="0" borderId="0" xfId="0" applyNumberFormat="1" applyFont="1" applyAlignment="1">
      <alignment vertical="center"/>
    </xf>
    <xf numFmtId="0" fontId="28" fillId="0" borderId="10" xfId="0" applyFont="1" applyFill="1" applyBorder="1" applyAlignment="1">
      <alignment vertical="center"/>
    </xf>
    <xf numFmtId="0" fontId="26" fillId="7" borderId="25" xfId="0" applyFont="1" applyFill="1" applyBorder="1" applyAlignment="1">
      <alignment vertical="center"/>
    </xf>
    <xf numFmtId="0" fontId="26" fillId="7" borderId="26" xfId="0" applyFont="1" applyFill="1" applyBorder="1" applyAlignment="1">
      <alignment horizontal="center" vertical="center"/>
    </xf>
    <xf numFmtId="0" fontId="26" fillId="7" borderId="26" xfId="0" applyFont="1" applyFill="1" applyBorder="1" applyAlignment="1">
      <alignment/>
    </xf>
    <xf numFmtId="0" fontId="26" fillId="7" borderId="26" xfId="0" applyFont="1" applyFill="1" applyBorder="1" applyAlignment="1">
      <alignment vertical="center"/>
    </xf>
    <xf numFmtId="0" fontId="26" fillId="7" borderId="27" xfId="0" applyFont="1" applyFill="1" applyBorder="1" applyAlignment="1">
      <alignment vertical="center"/>
    </xf>
    <xf numFmtId="0" fontId="26" fillId="7" borderId="28" xfId="0" applyFont="1" applyFill="1" applyBorder="1" applyAlignment="1">
      <alignment vertical="center"/>
    </xf>
    <xf numFmtId="0" fontId="26" fillId="7" borderId="10" xfId="0" applyFont="1" applyFill="1" applyBorder="1" applyAlignment="1">
      <alignment horizontal="center"/>
    </xf>
    <xf numFmtId="0" fontId="26" fillId="7" borderId="10" xfId="0" applyFont="1" applyFill="1" applyBorder="1" applyAlignment="1">
      <alignment/>
    </xf>
    <xf numFmtId="0" fontId="26" fillId="7" borderId="29" xfId="0" applyFont="1" applyFill="1" applyBorder="1" applyAlignment="1">
      <alignment/>
    </xf>
    <xf numFmtId="0" fontId="26" fillId="7" borderId="28" xfId="0" applyFont="1" applyFill="1" applyBorder="1" applyAlignment="1">
      <alignment horizontal="center" vertical="center"/>
    </xf>
    <xf numFmtId="0" fontId="26" fillId="7" borderId="10" xfId="0" applyFont="1" applyFill="1" applyBorder="1" applyAlignment="1">
      <alignment horizontal="center" vertical="center"/>
    </xf>
    <xf numFmtId="177" fontId="26" fillId="7" borderId="10" xfId="0" applyNumberFormat="1" applyFont="1" applyFill="1" applyBorder="1" applyAlignment="1">
      <alignment horizontal="center" vertical="center"/>
    </xf>
    <xf numFmtId="177" fontId="26" fillId="7" borderId="29" xfId="0" applyNumberFormat="1" applyFont="1" applyFill="1" applyBorder="1" applyAlignment="1">
      <alignment horizontal="center" vertical="center"/>
    </xf>
    <xf numFmtId="177" fontId="26" fillId="7" borderId="10" xfId="63" applyNumberFormat="1" applyFont="1" applyFill="1" applyBorder="1" applyAlignment="1">
      <alignment vertical="center"/>
    </xf>
    <xf numFmtId="187" fontId="26" fillId="7" borderId="10" xfId="0" applyNumberFormat="1" applyFont="1" applyFill="1" applyBorder="1" applyAlignment="1">
      <alignment vertical="center"/>
    </xf>
    <xf numFmtId="177" fontId="26" fillId="7" borderId="10" xfId="63" applyNumberFormat="1" applyFont="1" applyFill="1" applyBorder="1" applyAlignment="1">
      <alignment horizontal="center" vertical="center"/>
    </xf>
    <xf numFmtId="187" fontId="26" fillId="7" borderId="10" xfId="52" applyNumberFormat="1" applyFont="1" applyFill="1" applyBorder="1" applyAlignment="1">
      <alignment horizontal="center" vertical="center"/>
    </xf>
    <xf numFmtId="177" fontId="26" fillId="7" borderId="29" xfId="0" applyNumberFormat="1" applyFont="1" applyFill="1" applyBorder="1" applyAlignment="1">
      <alignment vertical="center"/>
    </xf>
    <xf numFmtId="177" fontId="26" fillId="7" borderId="28" xfId="63" applyNumberFormat="1" applyFont="1" applyFill="1" applyBorder="1" applyAlignment="1">
      <alignment vertical="center"/>
    </xf>
    <xf numFmtId="187" fontId="26" fillId="7" borderId="10" xfId="52" applyNumberFormat="1" applyFont="1" applyFill="1" applyBorder="1" applyAlignment="1">
      <alignment vertical="center"/>
    </xf>
    <xf numFmtId="177" fontId="26" fillId="7" borderId="29" xfId="63" applyNumberFormat="1"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177" fontId="26" fillId="7" borderId="31" xfId="63" applyNumberFormat="1" applyFont="1" applyFill="1" applyBorder="1" applyAlignment="1">
      <alignment/>
    </xf>
    <xf numFmtId="0" fontId="26" fillId="7" borderId="31" xfId="0" applyFont="1" applyFill="1" applyBorder="1" applyAlignment="1">
      <alignment vertical="center"/>
    </xf>
    <xf numFmtId="0" fontId="26" fillId="7" borderId="32" xfId="0" applyFont="1" applyFill="1" applyBorder="1" applyAlignment="1">
      <alignment/>
    </xf>
    <xf numFmtId="10" fontId="26" fillId="0" borderId="0" xfId="52" applyNumberFormat="1" applyFont="1" applyFill="1" applyBorder="1" applyAlignment="1">
      <alignment vertical="center"/>
    </xf>
    <xf numFmtId="10" fontId="26" fillId="0" borderId="10" xfId="52" applyNumberFormat="1" applyFont="1" applyFill="1" applyBorder="1" applyAlignment="1">
      <alignment vertical="center"/>
    </xf>
    <xf numFmtId="177" fontId="89" fillId="0" borderId="10" xfId="63" applyNumberFormat="1" applyFont="1" applyFill="1" applyBorder="1" applyAlignment="1">
      <alignment vertical="center"/>
    </xf>
    <xf numFmtId="177" fontId="26" fillId="19" borderId="10" xfId="63" applyNumberFormat="1" applyFont="1" applyFill="1" applyBorder="1" applyAlignment="1">
      <alignment vertical="center"/>
    </xf>
    <xf numFmtId="177" fontId="26" fillId="19" borderId="10" xfId="0" applyNumberFormat="1" applyFont="1" applyFill="1" applyBorder="1" applyAlignment="1">
      <alignment horizontal="center" vertical="center"/>
    </xf>
    <xf numFmtId="177" fontId="88" fillId="7" borderId="10" xfId="63" applyNumberFormat="1" applyFont="1" applyFill="1" applyBorder="1" applyAlignment="1">
      <alignment vertical="center"/>
    </xf>
    <xf numFmtId="177" fontId="88" fillId="7" borderId="10" xfId="0" applyNumberFormat="1" applyFont="1" applyFill="1" applyBorder="1" applyAlignment="1">
      <alignment horizontal="center" vertical="center"/>
    </xf>
    <xf numFmtId="3" fontId="26" fillId="43" borderId="10" xfId="50" applyNumberFormat="1" applyFont="1" applyFill="1" applyBorder="1" applyAlignment="1">
      <alignment vertical="center"/>
      <protection/>
    </xf>
    <xf numFmtId="177" fontId="90" fillId="0" borderId="21" xfId="63" applyNumberFormat="1" applyFont="1" applyFill="1" applyBorder="1" applyAlignment="1">
      <alignment horizontal="center" vertical="center"/>
    </xf>
    <xf numFmtId="175" fontId="26" fillId="0" borderId="0" xfId="0" applyNumberFormat="1" applyFont="1" applyFill="1" applyBorder="1" applyAlignment="1">
      <alignment horizontal="center" vertical="center"/>
    </xf>
    <xf numFmtId="177" fontId="26" fillId="0" borderId="18" xfId="63" applyNumberFormat="1" applyFont="1" applyFill="1" applyBorder="1" applyAlignment="1">
      <alignment horizontal="center" vertical="center"/>
    </xf>
    <xf numFmtId="177" fontId="26" fillId="0" borderId="22" xfId="63" applyNumberFormat="1" applyFont="1" applyFill="1" applyBorder="1" applyAlignment="1">
      <alignment horizontal="center" vertical="center"/>
    </xf>
    <xf numFmtId="187" fontId="26" fillId="0" borderId="22" xfId="0" applyNumberFormat="1" applyFont="1" applyFill="1" applyBorder="1" applyAlignment="1">
      <alignment horizontal="center" vertical="center"/>
    </xf>
    <xf numFmtId="177" fontId="89" fillId="0" borderId="22" xfId="63" applyNumberFormat="1" applyFont="1" applyFill="1" applyBorder="1" applyAlignment="1">
      <alignment horizontal="center" vertical="center"/>
    </xf>
    <xf numFmtId="0" fontId="26" fillId="0" borderId="18" xfId="0" applyFont="1" applyFill="1" applyBorder="1" applyAlignment="1">
      <alignment horizontal="center" vertical="center"/>
    </xf>
    <xf numFmtId="177" fontId="89" fillId="0" borderId="0" xfId="63" applyNumberFormat="1" applyFont="1" applyAlignment="1">
      <alignment horizontal="center" vertical="center"/>
    </xf>
    <xf numFmtId="0" fontId="89" fillId="0" borderId="18" xfId="0" applyFont="1" applyBorder="1" applyAlignment="1">
      <alignment horizontal="center" vertical="center"/>
    </xf>
    <xf numFmtId="0" fontId="26" fillId="0" borderId="33" xfId="0" applyFont="1" applyFill="1" applyBorder="1" applyAlignment="1">
      <alignment vertical="center"/>
    </xf>
    <xf numFmtId="0" fontId="26" fillId="0" borderId="17" xfId="0" applyFont="1" applyFill="1" applyBorder="1" applyAlignment="1">
      <alignment vertical="center"/>
    </xf>
    <xf numFmtId="0" fontId="26" fillId="0" borderId="22" xfId="0" applyFont="1" applyFill="1" applyBorder="1" applyAlignment="1">
      <alignment vertical="center"/>
    </xf>
    <xf numFmtId="177" fontId="26" fillId="0" borderId="14" xfId="0" applyNumberFormat="1" applyFont="1" applyFill="1" applyBorder="1" applyAlignment="1">
      <alignment vertical="center"/>
    </xf>
    <xf numFmtId="177" fontId="26" fillId="0" borderId="24" xfId="0" applyNumberFormat="1" applyFont="1" applyFill="1" applyBorder="1" applyAlignment="1">
      <alignment vertical="center"/>
    </xf>
    <xf numFmtId="0" fontId="26" fillId="0" borderId="24" xfId="0" applyFont="1" applyFill="1" applyBorder="1" applyAlignment="1">
      <alignment vertical="center"/>
    </xf>
    <xf numFmtId="0" fontId="26" fillId="0" borderId="20" xfId="0" applyFont="1" applyFill="1" applyBorder="1" applyAlignment="1">
      <alignment vertical="center"/>
    </xf>
    <xf numFmtId="0" fontId="26" fillId="0" borderId="33" xfId="0" applyFont="1" applyFill="1" applyBorder="1" applyAlignment="1">
      <alignment horizontal="center" vertical="center"/>
    </xf>
    <xf numFmtId="9" fontId="26" fillId="0" borderId="19" xfId="0" applyNumberFormat="1" applyFont="1" applyFill="1" applyBorder="1" applyAlignment="1">
      <alignment vertical="center"/>
    </xf>
    <xf numFmtId="9" fontId="26" fillId="0" borderId="19" xfId="52" applyFont="1" applyBorder="1" applyAlignment="1">
      <alignment/>
    </xf>
    <xf numFmtId="10" fontId="26" fillId="0" borderId="22" xfId="52" applyNumberFormat="1" applyFont="1" applyFill="1" applyBorder="1" applyAlignment="1">
      <alignment vertical="center"/>
    </xf>
    <xf numFmtId="10" fontId="26" fillId="0" borderId="0" xfId="52" applyNumberFormat="1" applyFont="1" applyFill="1" applyBorder="1" applyAlignment="1">
      <alignment horizontal="center" vertical="center"/>
    </xf>
    <xf numFmtId="10" fontId="26" fillId="0" borderId="24" xfId="52" applyNumberFormat="1" applyFont="1" applyFill="1" applyBorder="1" applyAlignment="1">
      <alignment horizontal="center" vertical="center"/>
    </xf>
    <xf numFmtId="10" fontId="26" fillId="0" borderId="24" xfId="52" applyNumberFormat="1" applyFont="1" applyFill="1" applyBorder="1" applyAlignment="1">
      <alignment vertical="center"/>
    </xf>
    <xf numFmtId="10" fontId="26" fillId="0" borderId="20" xfId="52" applyNumberFormat="1" applyFont="1" applyFill="1" applyBorder="1" applyAlignment="1">
      <alignment vertical="center"/>
    </xf>
    <xf numFmtId="177" fontId="26" fillId="0" borderId="21" xfId="0" applyNumberFormat="1" applyFont="1" applyBorder="1" applyAlignment="1">
      <alignment/>
    </xf>
    <xf numFmtId="177" fontId="26" fillId="0" borderId="14" xfId="0" applyNumberFormat="1" applyFont="1" applyBorder="1" applyAlignment="1">
      <alignment/>
    </xf>
    <xf numFmtId="177" fontId="92" fillId="0" borderId="0" xfId="63" applyNumberFormat="1" applyFont="1" applyFill="1" applyAlignment="1">
      <alignment/>
    </xf>
    <xf numFmtId="177" fontId="29" fillId="0" borderId="18" xfId="0" applyNumberFormat="1" applyFont="1" applyFill="1" applyBorder="1" applyAlignment="1">
      <alignment/>
    </xf>
    <xf numFmtId="3" fontId="29" fillId="0" borderId="10" xfId="50" applyNumberFormat="1" applyFont="1" applyBorder="1" applyAlignment="1">
      <alignment/>
      <protection/>
    </xf>
    <xf numFmtId="3" fontId="29" fillId="0" borderId="10" xfId="0" applyNumberFormat="1" applyFont="1" applyFill="1" applyBorder="1" applyAlignment="1">
      <alignment/>
    </xf>
    <xf numFmtId="177" fontId="29" fillId="0" borderId="10" xfId="63" applyNumberFormat="1" applyFont="1" applyFill="1" applyBorder="1" applyAlignment="1">
      <alignment/>
    </xf>
    <xf numFmtId="177" fontId="29" fillId="0" borderId="0" xfId="0" applyNumberFormat="1" applyFont="1" applyAlignment="1">
      <alignment/>
    </xf>
    <xf numFmtId="3" fontId="27" fillId="0" borderId="10" xfId="0" applyNumberFormat="1" applyFont="1" applyFill="1" applyBorder="1" applyAlignment="1">
      <alignment vertical="center"/>
    </xf>
    <xf numFmtId="3" fontId="27" fillId="0" borderId="10" xfId="50" applyNumberFormat="1" applyFont="1" applyBorder="1" applyAlignment="1">
      <alignment/>
      <protection/>
    </xf>
    <xf numFmtId="3" fontId="27" fillId="0" borderId="10" xfId="50" applyNumberFormat="1" applyFont="1" applyBorder="1" applyAlignment="1">
      <alignment vertical="center"/>
      <protection/>
    </xf>
    <xf numFmtId="0" fontId="69" fillId="8" borderId="0" xfId="21" applyAlignment="1">
      <alignment/>
    </xf>
    <xf numFmtId="0" fontId="69" fillId="8" borderId="0" xfId="21" applyBorder="1" applyAlignment="1">
      <alignment vertical="center"/>
    </xf>
    <xf numFmtId="0" fontId="69" fillId="8" borderId="0" xfId="21" applyBorder="1" applyAlignment="1">
      <alignment horizontal="center" vertical="center"/>
    </xf>
    <xf numFmtId="40" fontId="69" fillId="8" borderId="0" xfId="21" applyNumberFormat="1" applyBorder="1" applyAlignment="1">
      <alignment/>
    </xf>
    <xf numFmtId="4" fontId="69" fillId="8" borderId="0" xfId="21" applyNumberFormat="1" applyBorder="1" applyAlignment="1">
      <alignment/>
    </xf>
    <xf numFmtId="8" fontId="69" fillId="8" borderId="0" xfId="21" applyNumberFormat="1" applyBorder="1" applyAlignment="1">
      <alignment horizontal="center" vertical="center"/>
    </xf>
    <xf numFmtId="0" fontId="69" fillId="8" borderId="0" xfId="21" applyBorder="1" applyAlignment="1">
      <alignment/>
    </xf>
    <xf numFmtId="0" fontId="69" fillId="8" borderId="0" xfId="21" applyAlignment="1">
      <alignment horizontal="center"/>
    </xf>
    <xf numFmtId="0" fontId="69" fillId="9" borderId="0" xfId="22" applyAlignment="1">
      <alignment/>
    </xf>
    <xf numFmtId="0" fontId="69" fillId="9" borderId="0" xfId="22" applyAlignment="1">
      <alignment horizontal="center"/>
    </xf>
    <xf numFmtId="0" fontId="69" fillId="9" borderId="0" xfId="22" applyBorder="1" applyAlignment="1">
      <alignment/>
    </xf>
    <xf numFmtId="43" fontId="69" fillId="9" borderId="0" xfId="22" applyNumberFormat="1" applyBorder="1" applyAlignment="1">
      <alignment/>
    </xf>
    <xf numFmtId="171" fontId="69" fillId="9" borderId="0" xfId="22" applyNumberFormat="1" applyAlignment="1">
      <alignment/>
    </xf>
    <xf numFmtId="0" fontId="93" fillId="9" borderId="0" xfId="22" applyFont="1" applyBorder="1" applyAlignment="1">
      <alignment horizontal="center" vertical="center" wrapText="1"/>
    </xf>
    <xf numFmtId="1" fontId="94" fillId="9" borderId="0" xfId="22" applyNumberFormat="1" applyFont="1" applyBorder="1" applyAlignment="1">
      <alignment horizontal="center" vertical="center"/>
    </xf>
    <xf numFmtId="0" fontId="94" fillId="9" borderId="0" xfId="22" applyFont="1" applyFill="1" applyBorder="1" applyAlignment="1">
      <alignment horizontal="center" vertical="center"/>
    </xf>
    <xf numFmtId="8" fontId="94" fillId="9" borderId="0" xfId="22" applyNumberFormat="1" applyFont="1" applyFill="1" applyBorder="1" applyAlignment="1">
      <alignment horizontal="center" vertical="center"/>
    </xf>
    <xf numFmtId="0" fontId="69" fillId="10" borderId="0" xfId="23" applyAlignment="1">
      <alignment/>
    </xf>
    <xf numFmtId="0" fontId="95" fillId="8" borderId="34" xfId="21" applyFont="1" applyBorder="1" applyAlignment="1">
      <alignment horizontal="center" vertical="center" wrapText="1"/>
    </xf>
    <xf numFmtId="1" fontId="96" fillId="8" borderId="35" xfId="21" applyNumberFormat="1" applyFont="1" applyBorder="1" applyAlignment="1" applyProtection="1">
      <alignment horizontal="center" vertical="center"/>
      <protection locked="0"/>
    </xf>
    <xf numFmtId="0" fontId="95" fillId="44" borderId="34" xfId="21" applyFont="1" applyFill="1" applyBorder="1" applyAlignment="1">
      <alignment horizontal="center" vertical="center"/>
    </xf>
    <xf numFmtId="0" fontId="95" fillId="8" borderId="36" xfId="21" applyFont="1" applyBorder="1" applyAlignment="1">
      <alignment/>
    </xf>
    <xf numFmtId="0" fontId="95" fillId="8" borderId="37" xfId="21" applyFont="1" applyBorder="1" applyAlignment="1">
      <alignment/>
    </xf>
    <xf numFmtId="171" fontId="96" fillId="8" borderId="38" xfId="63" applyFont="1" applyFill="1" applyBorder="1" applyAlignment="1">
      <alignment horizontal="right" vertical="center"/>
    </xf>
    <xf numFmtId="0" fontId="95" fillId="9" borderId="36" xfId="22" applyFont="1" applyBorder="1" applyAlignment="1">
      <alignment/>
    </xf>
    <xf numFmtId="0" fontId="95" fillId="9" borderId="39" xfId="22" applyFont="1" applyBorder="1" applyAlignment="1">
      <alignment/>
    </xf>
    <xf numFmtId="0" fontId="95" fillId="9" borderId="37" xfId="22" applyFont="1" applyBorder="1" applyAlignment="1">
      <alignment/>
    </xf>
    <xf numFmtId="0" fontId="97" fillId="9" borderId="0" xfId="22" applyFont="1" applyAlignment="1">
      <alignment/>
    </xf>
    <xf numFmtId="0" fontId="97" fillId="9" borderId="0" xfId="22" applyFont="1" applyBorder="1" applyAlignment="1">
      <alignment/>
    </xf>
    <xf numFmtId="0" fontId="69" fillId="11" borderId="0" xfId="24" applyAlignment="1">
      <alignment/>
    </xf>
    <xf numFmtId="0" fontId="69" fillId="11" borderId="0" xfId="24" applyBorder="1" applyAlignment="1">
      <alignment vertical="center"/>
    </xf>
    <xf numFmtId="0" fontId="69" fillId="11" borderId="0" xfId="24" applyBorder="1" applyAlignment="1">
      <alignment horizontal="center" vertical="center"/>
    </xf>
    <xf numFmtId="40" fontId="69" fillId="11" borderId="0" xfId="24" applyNumberFormat="1" applyBorder="1" applyAlignment="1">
      <alignment/>
    </xf>
    <xf numFmtId="4" fontId="69" fillId="11" borderId="0" xfId="24" applyNumberFormat="1" applyBorder="1" applyAlignment="1">
      <alignment/>
    </xf>
    <xf numFmtId="8" fontId="69" fillId="11" borderId="0" xfId="24" applyNumberFormat="1" applyBorder="1" applyAlignment="1">
      <alignment horizontal="center" vertical="center"/>
    </xf>
    <xf numFmtId="0" fontId="69" fillId="11" borderId="0" xfId="24" applyBorder="1" applyAlignment="1">
      <alignment/>
    </xf>
    <xf numFmtId="0" fontId="69" fillId="11" borderId="0" xfId="24" applyBorder="1" applyAlignment="1">
      <alignment horizontal="center"/>
    </xf>
    <xf numFmtId="0" fontId="95" fillId="11" borderId="34" xfId="24" applyFont="1" applyBorder="1" applyAlignment="1">
      <alignment horizontal="center" vertical="center" wrapText="1"/>
    </xf>
    <xf numFmtId="0" fontId="95" fillId="11" borderId="36" xfId="24" applyFont="1" applyBorder="1" applyAlignment="1">
      <alignment/>
    </xf>
    <xf numFmtId="0" fontId="95" fillId="11" borderId="39" xfId="24" applyFont="1" applyBorder="1" applyAlignment="1">
      <alignment/>
    </xf>
    <xf numFmtId="0" fontId="95" fillId="11" borderId="37" xfId="24" applyFont="1" applyBorder="1" applyAlignment="1">
      <alignment/>
    </xf>
    <xf numFmtId="0" fontId="98" fillId="45" borderId="37" xfId="24" applyFont="1" applyFill="1" applyBorder="1" applyAlignment="1">
      <alignment horizontal="center" vertical="center"/>
    </xf>
    <xf numFmtId="0" fontId="99" fillId="10" borderId="0" xfId="23" applyFont="1" applyBorder="1" applyAlignment="1">
      <alignment/>
    </xf>
    <xf numFmtId="202" fontId="100" fillId="10" borderId="34" xfId="23" applyNumberFormat="1" applyFont="1" applyFill="1" applyBorder="1" applyAlignment="1">
      <alignment horizontal="center" vertical="center"/>
    </xf>
    <xf numFmtId="171" fontId="96" fillId="10" borderId="40" xfId="63" applyFont="1" applyFill="1" applyBorder="1" applyAlignment="1">
      <alignment/>
    </xf>
    <xf numFmtId="171" fontId="96" fillId="11" borderId="38" xfId="63" applyFont="1" applyFill="1" applyBorder="1" applyAlignment="1">
      <alignment horizontal="right"/>
    </xf>
    <xf numFmtId="171" fontId="96" fillId="11" borderId="40" xfId="63" applyFont="1" applyFill="1" applyBorder="1" applyAlignment="1">
      <alignment/>
    </xf>
    <xf numFmtId="171" fontId="96" fillId="11" borderId="41" xfId="63" applyFont="1" applyFill="1" applyBorder="1" applyAlignment="1">
      <alignment/>
    </xf>
    <xf numFmtId="171" fontId="96" fillId="9" borderId="38" xfId="63" applyFont="1" applyFill="1" applyBorder="1" applyAlignment="1">
      <alignment/>
    </xf>
    <xf numFmtId="171" fontId="96" fillId="9" borderId="40" xfId="63" applyFont="1" applyFill="1" applyBorder="1" applyAlignment="1">
      <alignment/>
    </xf>
    <xf numFmtId="171" fontId="96" fillId="9" borderId="41" xfId="63" applyFont="1" applyFill="1" applyBorder="1" applyAlignment="1">
      <alignment/>
    </xf>
    <xf numFmtId="170" fontId="98" fillId="45" borderId="34" xfId="47" applyFont="1" applyFill="1" applyBorder="1" applyAlignment="1">
      <alignment horizontal="center" vertical="center"/>
    </xf>
    <xf numFmtId="171" fontId="96" fillId="8" borderId="41" xfId="63" applyFont="1" applyFill="1" applyBorder="1" applyAlignment="1">
      <alignment horizontal="right" vertical="center"/>
    </xf>
    <xf numFmtId="170" fontId="96" fillId="44" borderId="34" xfId="47" applyFont="1" applyFill="1" applyBorder="1" applyAlignment="1">
      <alignment horizontal="right" vertical="center"/>
    </xf>
    <xf numFmtId="0" fontId="98" fillId="46" borderId="42" xfId="23" applyFont="1" applyFill="1" applyBorder="1" applyAlignment="1">
      <alignment horizontal="center" vertical="center"/>
    </xf>
    <xf numFmtId="170" fontId="98" fillId="46" borderId="41" xfId="47" applyFont="1" applyFill="1" applyBorder="1" applyAlignment="1">
      <alignment horizontal="center" vertical="center"/>
    </xf>
    <xf numFmtId="1" fontId="96" fillId="11" borderId="35" xfId="24" applyNumberFormat="1" applyFont="1" applyBorder="1" applyAlignment="1" applyProtection="1">
      <alignment horizontal="center" vertical="center"/>
      <protection locked="0"/>
    </xf>
    <xf numFmtId="1" fontId="96" fillId="9" borderId="35" xfId="22" applyNumberFormat="1" applyFont="1" applyBorder="1" applyAlignment="1" applyProtection="1">
      <alignment horizontal="center" vertical="center"/>
      <protection locked="0"/>
    </xf>
    <xf numFmtId="0" fontId="69" fillId="47" borderId="0" xfId="20" applyFill="1" applyAlignment="1">
      <alignment/>
    </xf>
    <xf numFmtId="0" fontId="98" fillId="47" borderId="39" xfId="20" applyFont="1" applyFill="1" applyBorder="1" applyAlignment="1">
      <alignment horizontal="center" vertical="center"/>
    </xf>
    <xf numFmtId="0" fontId="98" fillId="47" borderId="0" xfId="20" applyFont="1" applyFill="1" applyBorder="1" applyAlignment="1">
      <alignment horizontal="center" vertical="center"/>
    </xf>
    <xf numFmtId="0" fontId="98" fillId="47" borderId="40" xfId="20" applyFont="1" applyFill="1" applyBorder="1" applyAlignment="1">
      <alignment horizontal="center" vertical="center"/>
    </xf>
    <xf numFmtId="0" fontId="96" fillId="47" borderId="39" xfId="20" applyFont="1" applyFill="1" applyBorder="1" applyAlignment="1">
      <alignment vertical="center"/>
    </xf>
    <xf numFmtId="0" fontId="96" fillId="47" borderId="0" xfId="20" applyFont="1" applyFill="1" applyBorder="1" applyAlignment="1">
      <alignment vertical="center"/>
    </xf>
    <xf numFmtId="0" fontId="96" fillId="47" borderId="40" xfId="20" applyFont="1" applyFill="1" applyBorder="1" applyAlignment="1">
      <alignment vertical="center"/>
    </xf>
    <xf numFmtId="0" fontId="95" fillId="47" borderId="0" xfId="20" applyFont="1" applyFill="1" applyBorder="1" applyAlignment="1">
      <alignment vertical="center"/>
    </xf>
    <xf numFmtId="0" fontId="96" fillId="47" borderId="37" xfId="20" applyFont="1" applyFill="1" applyBorder="1" applyAlignment="1">
      <alignment/>
    </xf>
    <xf numFmtId="0" fontId="96" fillId="47" borderId="42" xfId="20" applyFont="1" applyFill="1" applyBorder="1" applyAlignment="1">
      <alignment/>
    </xf>
    <xf numFmtId="0" fontId="96" fillId="47" borderId="41" xfId="20" applyFont="1" applyFill="1" applyBorder="1" applyAlignment="1">
      <alignment/>
    </xf>
    <xf numFmtId="0" fontId="99" fillId="11" borderId="0" xfId="24" applyFont="1" applyAlignment="1">
      <alignment horizontal="right"/>
    </xf>
    <xf numFmtId="0" fontId="99" fillId="10" borderId="0" xfId="23" applyFont="1" applyAlignment="1">
      <alignment horizontal="right"/>
    </xf>
    <xf numFmtId="8" fontId="99" fillId="9" borderId="0" xfId="22" applyNumberFormat="1" applyFont="1" applyFill="1" applyBorder="1" applyAlignment="1">
      <alignment horizontal="right" vertical="center"/>
    </xf>
    <xf numFmtId="0" fontId="99" fillId="8" borderId="0" xfId="21" applyFont="1" applyBorder="1" applyAlignment="1">
      <alignment horizontal="right"/>
    </xf>
    <xf numFmtId="202" fontId="31" fillId="9" borderId="35" xfId="22" applyNumberFormat="1" applyFont="1" applyBorder="1" applyAlignment="1">
      <alignment horizontal="center" vertical="center"/>
    </xf>
    <xf numFmtId="202" fontId="31" fillId="9" borderId="41" xfId="22" applyNumberFormat="1" applyFont="1" applyBorder="1" applyAlignment="1">
      <alignment horizontal="center" vertical="center"/>
    </xf>
    <xf numFmtId="0" fontId="101" fillId="9" borderId="0" xfId="22" applyFont="1" applyBorder="1" applyAlignment="1">
      <alignment/>
    </xf>
    <xf numFmtId="0" fontId="101" fillId="9" borderId="0" xfId="22" applyFont="1" applyBorder="1" applyAlignment="1">
      <alignment/>
    </xf>
    <xf numFmtId="0" fontId="101" fillId="9" borderId="0" xfId="22" applyFont="1" applyBorder="1" applyAlignment="1">
      <alignment horizontal="center"/>
    </xf>
    <xf numFmtId="171" fontId="101" fillId="9" borderId="0" xfId="22" applyNumberFormat="1" applyFont="1" applyBorder="1" applyAlignment="1">
      <alignment/>
    </xf>
    <xf numFmtId="4" fontId="101" fillId="9" borderId="0" xfId="22" applyNumberFormat="1" applyFont="1" applyBorder="1" applyAlignment="1">
      <alignment/>
    </xf>
    <xf numFmtId="0" fontId="101" fillId="9" borderId="0" xfId="22" applyFont="1" applyBorder="1" applyAlignment="1">
      <alignment horizontal="center" vertical="center"/>
    </xf>
    <xf numFmtId="0" fontId="101" fillId="9" borderId="0" xfId="22" applyFont="1" applyBorder="1" applyAlignment="1">
      <alignment horizontal="right"/>
    </xf>
    <xf numFmtId="0" fontId="101" fillId="9" borderId="0" xfId="22" applyFont="1" applyBorder="1" applyAlignment="1">
      <alignment horizontal="center" vertical="center" wrapText="1"/>
    </xf>
    <xf numFmtId="4" fontId="101" fillId="9" borderId="0" xfId="22" applyNumberFormat="1" applyFont="1" applyBorder="1" applyAlignment="1">
      <alignment horizontal="center" vertical="center" wrapText="1"/>
    </xf>
    <xf numFmtId="171" fontId="101" fillId="9" borderId="0" xfId="22" applyNumberFormat="1" applyFont="1" applyBorder="1" applyAlignment="1">
      <alignment horizontal="right"/>
    </xf>
    <xf numFmtId="43" fontId="101" fillId="9" borderId="0" xfId="22" applyNumberFormat="1" applyFont="1" applyBorder="1" applyAlignment="1">
      <alignment/>
    </xf>
    <xf numFmtId="171" fontId="101" fillId="9" borderId="0" xfId="22" applyNumberFormat="1" applyFont="1" applyAlignment="1">
      <alignment/>
    </xf>
    <xf numFmtId="0" fontId="101" fillId="9" borderId="0" xfId="22" applyFont="1" applyAlignment="1">
      <alignment/>
    </xf>
    <xf numFmtId="4" fontId="102" fillId="11" borderId="0" xfId="24" applyNumberFormat="1" applyFont="1" applyBorder="1" applyAlignment="1">
      <alignment/>
    </xf>
    <xf numFmtId="0" fontId="102" fillId="11" borderId="0" xfId="24" applyFont="1" applyBorder="1" applyAlignment="1">
      <alignment/>
    </xf>
    <xf numFmtId="0" fontId="102" fillId="11" borderId="0" xfId="24" applyFont="1" applyBorder="1" applyAlignment="1">
      <alignment horizontal="center"/>
    </xf>
    <xf numFmtId="0" fontId="102" fillId="11" borderId="0" xfId="24" applyFont="1" applyBorder="1" applyAlignment="1">
      <alignment horizontal="center" vertical="center"/>
    </xf>
    <xf numFmtId="0" fontId="102" fillId="11" borderId="0" xfId="24" applyFont="1" applyBorder="1" applyAlignment="1">
      <alignment horizontal="center" wrapText="1"/>
    </xf>
    <xf numFmtId="4" fontId="102" fillId="11" borderId="0" xfId="24" applyNumberFormat="1" applyFont="1" applyBorder="1" applyAlignment="1">
      <alignment horizontal="center"/>
    </xf>
    <xf numFmtId="4" fontId="102" fillId="11" borderId="0" xfId="24" applyNumberFormat="1" applyFont="1" applyBorder="1" applyAlignment="1">
      <alignment horizontal="center" vertical="center" wrapText="1"/>
    </xf>
    <xf numFmtId="0" fontId="102" fillId="11" borderId="0" xfId="24" applyFont="1" applyAlignment="1">
      <alignment/>
    </xf>
    <xf numFmtId="0" fontId="69" fillId="10" borderId="0" xfId="23" applyBorder="1" applyAlignment="1">
      <alignment/>
    </xf>
    <xf numFmtId="0" fontId="103" fillId="10" borderId="0" xfId="23" applyFont="1" applyBorder="1" applyAlignment="1">
      <alignment/>
    </xf>
    <xf numFmtId="0" fontId="103" fillId="10" borderId="0" xfId="23" applyFont="1" applyBorder="1" applyAlignment="1">
      <alignment horizontal="center"/>
    </xf>
    <xf numFmtId="4" fontId="103" fillId="10" borderId="0" xfId="23" applyNumberFormat="1" applyFont="1" applyBorder="1" applyAlignment="1">
      <alignment/>
    </xf>
    <xf numFmtId="171" fontId="103" fillId="10" borderId="0" xfId="23" applyNumberFormat="1" applyFont="1" applyBorder="1" applyAlignment="1">
      <alignment/>
    </xf>
    <xf numFmtId="0" fontId="103" fillId="10" borderId="0" xfId="23" applyFont="1" applyBorder="1" applyAlignment="1">
      <alignment/>
    </xf>
    <xf numFmtId="0" fontId="103" fillId="10" borderId="0" xfId="23" applyFont="1" applyAlignment="1">
      <alignment/>
    </xf>
    <xf numFmtId="0" fontId="104" fillId="8" borderId="0" xfId="21" applyFont="1" applyBorder="1" applyAlignment="1">
      <alignment horizontal="center"/>
    </xf>
    <xf numFmtId="4" fontId="104" fillId="8" borderId="0" xfId="21" applyNumberFormat="1" applyFont="1" applyBorder="1" applyAlignment="1">
      <alignment horizontal="center" vertical="center" wrapText="1"/>
    </xf>
    <xf numFmtId="4" fontId="104" fillId="8" borderId="0" xfId="21" applyNumberFormat="1" applyFont="1" applyBorder="1" applyAlignment="1">
      <alignment/>
    </xf>
    <xf numFmtId="0" fontId="95" fillId="9" borderId="34" xfId="22" applyFont="1" applyBorder="1" applyAlignment="1" applyProtection="1">
      <alignment horizontal="center" vertical="center" wrapText="1"/>
      <protection locked="0"/>
    </xf>
    <xf numFmtId="4" fontId="23" fillId="7" borderId="10" xfId="50" applyNumberFormat="1" applyFont="1" applyFill="1" applyBorder="1" applyAlignment="1">
      <alignment horizontal="center" vertical="center"/>
      <protection/>
    </xf>
    <xf numFmtId="0" fontId="0" fillId="41" borderId="12" xfId="0" applyFont="1" applyFill="1" applyBorder="1" applyAlignment="1">
      <alignment horizontal="center" vertical="center"/>
    </xf>
    <xf numFmtId="0" fontId="0" fillId="41" borderId="15" xfId="0" applyFont="1" applyFill="1" applyBorder="1" applyAlignment="1">
      <alignment horizontal="center" vertical="center"/>
    </xf>
    <xf numFmtId="0" fontId="0" fillId="41" borderId="16" xfId="0" applyFont="1" applyFill="1" applyBorder="1" applyAlignment="1">
      <alignment horizontal="center" vertical="center"/>
    </xf>
    <xf numFmtId="0" fontId="0" fillId="0" borderId="0" xfId="0" applyFont="1" applyFill="1" applyAlignment="1">
      <alignment vertical="center" wrapText="1"/>
    </xf>
    <xf numFmtId="0" fontId="0" fillId="0" borderId="0" xfId="0" applyAlignment="1">
      <alignment vertical="center" wrapText="1"/>
    </xf>
    <xf numFmtId="0" fontId="0" fillId="0" borderId="24" xfId="0" applyFont="1" applyFill="1" applyBorder="1" applyAlignment="1">
      <alignment vertical="center" wrapText="1"/>
    </xf>
    <xf numFmtId="0" fontId="0" fillId="0" borderId="24" xfId="0" applyBorder="1" applyAlignment="1">
      <alignment vertical="center" wrapText="1"/>
    </xf>
    <xf numFmtId="0" fontId="0" fillId="10" borderId="10" xfId="0" applyFont="1" applyFill="1" applyBorder="1" applyAlignment="1">
      <alignment horizontal="left" vertical="center" wrapText="1"/>
    </xf>
    <xf numFmtId="0" fontId="0" fillId="10" borderId="10" xfId="0" applyFont="1" applyFill="1" applyBorder="1" applyAlignment="1">
      <alignment vertical="center" wrapText="1"/>
    </xf>
    <xf numFmtId="177" fontId="0" fillId="41" borderId="10" xfId="63" applyNumberFormat="1" applyFont="1" applyFill="1" applyBorder="1" applyAlignment="1">
      <alignment vertical="center" wrapText="1"/>
    </xf>
    <xf numFmtId="0" fontId="0" fillId="41" borderId="10" xfId="0" applyFont="1" applyFill="1" applyBorder="1" applyAlignment="1">
      <alignment vertical="center" wrapText="1"/>
    </xf>
    <xf numFmtId="0" fontId="0" fillId="6" borderId="10" xfId="0" applyFont="1" applyFill="1" applyBorder="1" applyAlignment="1">
      <alignment horizontal="center" vertical="center"/>
    </xf>
    <xf numFmtId="177" fontId="0" fillId="10" borderId="10" xfId="63" applyNumberFormat="1" applyFont="1" applyFill="1" applyBorder="1" applyAlignment="1">
      <alignment horizontal="center" vertical="center"/>
    </xf>
    <xf numFmtId="177" fontId="0" fillId="41" borderId="10" xfId="63"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4" fontId="28" fillId="0" borderId="10" xfId="50" applyNumberFormat="1" applyFont="1" applyBorder="1" applyAlignment="1">
      <alignment horizontal="center" vertical="center"/>
      <protection/>
    </xf>
    <xf numFmtId="4" fontId="28" fillId="0" borderId="23" xfId="50" applyNumberFormat="1" applyFont="1" applyBorder="1" applyAlignment="1">
      <alignment horizontal="center" vertical="center" wrapText="1"/>
      <protection/>
    </xf>
    <xf numFmtId="4" fontId="28" fillId="0" borderId="11" xfId="50" applyNumberFormat="1" applyFont="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Alignment="1">
      <alignment vertical="center" wrapText="1"/>
    </xf>
    <xf numFmtId="0" fontId="26" fillId="0" borderId="0" xfId="0" applyFont="1" applyAlignment="1">
      <alignment vertical="center" wrapText="1"/>
    </xf>
    <xf numFmtId="4" fontId="28" fillId="7" borderId="10" xfId="50" applyNumberFormat="1" applyFont="1" applyFill="1" applyBorder="1" applyAlignment="1">
      <alignment horizontal="center" vertical="center"/>
      <protection/>
    </xf>
    <xf numFmtId="180" fontId="12" fillId="34" borderId="15" xfId="0" applyNumberFormat="1" applyFont="1" applyFill="1" applyBorder="1" applyAlignment="1">
      <alignment horizontal="center" vertical="center" wrapText="1"/>
    </xf>
    <xf numFmtId="0" fontId="0" fillId="34" borderId="15" xfId="0" applyFont="1" applyFill="1" applyBorder="1" applyAlignment="1">
      <alignment/>
    </xf>
    <xf numFmtId="0" fontId="0" fillId="34" borderId="16" xfId="0" applyFont="1" applyFill="1" applyBorder="1" applyAlignment="1">
      <alignment/>
    </xf>
    <xf numFmtId="0" fontId="12" fillId="35" borderId="12"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16" xfId="0" applyFont="1" applyFill="1" applyBorder="1" applyAlignment="1">
      <alignment horizontal="center" vertical="center"/>
    </xf>
    <xf numFmtId="180" fontId="12" fillId="34" borderId="16"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0" fillId="48" borderId="19" xfId="0" applyFont="1" applyFill="1" applyBorder="1" applyAlignment="1">
      <alignment horizontal="center"/>
    </xf>
    <xf numFmtId="0" fontId="0" fillId="48" borderId="33" xfId="0" applyFont="1" applyFill="1" applyBorder="1" applyAlignment="1">
      <alignment horizontal="center"/>
    </xf>
    <xf numFmtId="0" fontId="0" fillId="48" borderId="17" xfId="0" applyFont="1" applyFill="1" applyBorder="1" applyAlignment="1">
      <alignment horizont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19" fillId="0" borderId="12" xfId="63" applyNumberFormat="1" applyFont="1" applyBorder="1" applyAlignment="1">
      <alignment horizontal="center" vertical="center"/>
    </xf>
    <xf numFmtId="177" fontId="19" fillId="0" borderId="15" xfId="63" applyNumberFormat="1" applyFont="1" applyBorder="1" applyAlignment="1">
      <alignment horizontal="center" vertical="center"/>
    </xf>
    <xf numFmtId="177" fontId="19" fillId="0" borderId="16" xfId="63" applyNumberFormat="1"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179" fontId="19" fillId="0" borderId="12" xfId="63" applyNumberFormat="1" applyFont="1" applyBorder="1" applyAlignment="1">
      <alignment horizontal="center" vertical="center"/>
    </xf>
    <xf numFmtId="179" fontId="19" fillId="0" borderId="16" xfId="63" applyNumberFormat="1"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4" fontId="23" fillId="0" borderId="10" xfId="50" applyNumberFormat="1" applyFont="1" applyBorder="1" applyAlignment="1">
      <alignment horizontal="center"/>
      <protection/>
    </xf>
    <xf numFmtId="4" fontId="22" fillId="0" borderId="10" xfId="50" applyNumberFormat="1" applyBorder="1" applyAlignment="1">
      <alignment horizontal="center"/>
      <protection/>
    </xf>
    <xf numFmtId="4" fontId="22" fillId="0" borderId="10" xfId="50" applyNumberFormat="1" applyBorder="1" applyAlignment="1">
      <alignment horizontal="center" vertical="center"/>
      <protection/>
    </xf>
    <xf numFmtId="4" fontId="22" fillId="0" borderId="23" xfId="50" applyNumberFormat="1" applyBorder="1" applyAlignment="1">
      <alignment horizontal="center" vertical="center"/>
      <protection/>
    </xf>
    <xf numFmtId="4" fontId="22" fillId="0" borderId="11" xfId="50" applyNumberFormat="1" applyBorder="1" applyAlignment="1">
      <alignment horizontal="center" vertical="center"/>
      <protection/>
    </xf>
    <xf numFmtId="4" fontId="22" fillId="0" borderId="23" xfId="50" applyNumberFormat="1" applyBorder="1" applyAlignment="1">
      <alignment horizontal="center" vertical="center" wrapText="1"/>
      <protection/>
    </xf>
    <xf numFmtId="0" fontId="22" fillId="0" borderId="11" xfId="50" applyBorder="1" applyAlignment="1">
      <alignment horizontal="center" vertical="center" wrapText="1"/>
      <protection/>
    </xf>
    <xf numFmtId="0" fontId="22" fillId="0" borderId="11" xfId="50" applyBorder="1" applyAlignment="1">
      <alignment horizontal="center" vertical="center"/>
      <protection/>
    </xf>
    <xf numFmtId="0" fontId="30" fillId="47" borderId="39" xfId="20" applyFont="1" applyFill="1" applyBorder="1" applyAlignment="1">
      <alignment horizontal="left" vertical="center"/>
    </xf>
    <xf numFmtId="0" fontId="30" fillId="47" borderId="0" xfId="20" applyFont="1" applyFill="1" applyBorder="1" applyAlignment="1">
      <alignment horizontal="left" vertical="center"/>
    </xf>
    <xf numFmtId="0" fontId="30" fillId="47" borderId="40" xfId="20" applyFont="1" applyFill="1" applyBorder="1" applyAlignment="1">
      <alignment horizontal="left" vertical="center"/>
    </xf>
    <xf numFmtId="0" fontId="98" fillId="49" borderId="36" xfId="20" applyFont="1" applyFill="1" applyBorder="1" applyAlignment="1">
      <alignment horizontal="center" vertical="center"/>
    </xf>
    <xf numFmtId="0" fontId="98" fillId="49" borderId="43" xfId="20" applyFont="1" applyFill="1" applyBorder="1" applyAlignment="1">
      <alignment horizontal="center" vertical="center"/>
    </xf>
    <xf numFmtId="0" fontId="98" fillId="49" borderId="38" xfId="20" applyFont="1" applyFill="1" applyBorder="1" applyAlignment="1">
      <alignment horizontal="center" vertical="center"/>
    </xf>
    <xf numFmtId="0" fontId="98" fillId="49" borderId="39" xfId="20" applyFont="1" applyFill="1" applyBorder="1" applyAlignment="1">
      <alignment horizontal="center" vertical="center"/>
    </xf>
    <xf numFmtId="0" fontId="98" fillId="49" borderId="0" xfId="20" applyFont="1" applyFill="1" applyBorder="1" applyAlignment="1">
      <alignment horizontal="center" vertical="center"/>
    </xf>
    <xf numFmtId="0" fontId="98" fillId="49" borderId="40" xfId="20" applyFont="1" applyFill="1" applyBorder="1" applyAlignment="1">
      <alignment horizontal="center" vertical="center"/>
    </xf>
    <xf numFmtId="0" fontId="105" fillId="45" borderId="44" xfId="24" applyFont="1" applyFill="1" applyBorder="1" applyAlignment="1">
      <alignment horizontal="center" vertical="center"/>
    </xf>
    <xf numFmtId="0" fontId="105" fillId="45" borderId="45" xfId="24" applyFont="1" applyFill="1" applyBorder="1" applyAlignment="1">
      <alignment horizontal="center" vertical="center"/>
    </xf>
    <xf numFmtId="0" fontId="105" fillId="45" borderId="46" xfId="24" applyFont="1" applyFill="1" applyBorder="1" applyAlignment="1">
      <alignment horizontal="center" vertical="center"/>
    </xf>
    <xf numFmtId="0" fontId="95" fillId="11" borderId="47" xfId="24" applyFont="1" applyBorder="1" applyAlignment="1">
      <alignment horizontal="center" vertical="center" wrapText="1"/>
    </xf>
    <xf numFmtId="0" fontId="95" fillId="11" borderId="48" xfId="24" applyFont="1" applyBorder="1" applyAlignment="1">
      <alignment horizontal="center" vertical="center" wrapText="1"/>
    </xf>
    <xf numFmtId="0" fontId="95" fillId="11" borderId="34" xfId="24" applyFont="1" applyBorder="1" applyAlignment="1">
      <alignment horizontal="center" vertical="center" wrapText="1"/>
    </xf>
    <xf numFmtId="202" fontId="96" fillId="11" borderId="36" xfId="24" applyNumberFormat="1" applyFont="1" applyBorder="1" applyAlignment="1" applyProtection="1">
      <alignment horizontal="center" vertical="center"/>
      <protection locked="0"/>
    </xf>
    <xf numFmtId="202" fontId="96" fillId="11" borderId="39" xfId="24" applyNumberFormat="1" applyFont="1" applyBorder="1" applyAlignment="1" applyProtection="1">
      <alignment horizontal="center" vertical="center"/>
      <protection locked="0"/>
    </xf>
    <xf numFmtId="202" fontId="96" fillId="11" borderId="37" xfId="24" applyNumberFormat="1" applyFont="1" applyBorder="1" applyAlignment="1" applyProtection="1">
      <alignment horizontal="center" vertical="center"/>
      <protection locked="0"/>
    </xf>
    <xf numFmtId="0" fontId="102" fillId="11" borderId="0" xfId="24" applyFont="1" applyBorder="1" applyAlignment="1">
      <alignment horizontal="center"/>
    </xf>
    <xf numFmtId="0" fontId="98" fillId="45" borderId="36" xfId="24" applyFont="1" applyFill="1" applyBorder="1" applyAlignment="1">
      <alignment horizontal="center" vertical="center"/>
    </xf>
    <xf numFmtId="0" fontId="98" fillId="45" borderId="38" xfId="24" applyFont="1" applyFill="1" applyBorder="1" applyAlignment="1">
      <alignment horizontal="center" vertical="center"/>
    </xf>
    <xf numFmtId="0" fontId="105" fillId="46" borderId="36" xfId="23" applyFont="1" applyFill="1" applyBorder="1" applyAlignment="1">
      <alignment horizontal="center" vertical="center"/>
    </xf>
    <xf numFmtId="0" fontId="105" fillId="46" borderId="43" xfId="23" applyFont="1" applyFill="1" applyBorder="1" applyAlignment="1">
      <alignment horizontal="center" vertical="center"/>
    </xf>
    <xf numFmtId="0" fontId="105" fillId="46" borderId="38" xfId="23" applyFont="1" applyFill="1" applyBorder="1" applyAlignment="1">
      <alignment horizontal="center" vertical="center"/>
    </xf>
    <xf numFmtId="0" fontId="95" fillId="10" borderId="36" xfId="23" applyFont="1" applyBorder="1" applyAlignment="1">
      <alignment horizontal="center" vertical="center" wrapText="1"/>
    </xf>
    <xf numFmtId="0" fontId="95" fillId="10" borderId="39" xfId="23" applyFont="1" applyBorder="1" applyAlignment="1">
      <alignment horizontal="center" vertical="center" wrapText="1"/>
    </xf>
    <xf numFmtId="0" fontId="95" fillId="10" borderId="37" xfId="23" applyFont="1" applyBorder="1" applyAlignment="1">
      <alignment horizontal="center" vertical="center" wrapText="1"/>
    </xf>
    <xf numFmtId="0" fontId="98" fillId="46" borderId="45" xfId="23" applyFont="1" applyFill="1" applyBorder="1" applyAlignment="1">
      <alignment horizontal="center" vertical="center"/>
    </xf>
    <xf numFmtId="0" fontId="98" fillId="46" borderId="46" xfId="23" applyFont="1" applyFill="1" applyBorder="1" applyAlignment="1">
      <alignment horizontal="center" vertical="center"/>
    </xf>
    <xf numFmtId="0" fontId="103" fillId="10" borderId="0" xfId="23" applyFont="1" applyBorder="1" applyAlignment="1">
      <alignment horizontal="center"/>
    </xf>
    <xf numFmtId="202" fontId="96" fillId="10" borderId="47" xfId="23" applyNumberFormat="1" applyFont="1" applyFill="1" applyBorder="1" applyAlignment="1" applyProtection="1">
      <alignment horizontal="center" vertical="center"/>
      <protection locked="0"/>
    </xf>
    <xf numFmtId="202" fontId="96" fillId="10" borderId="48" xfId="23" applyNumberFormat="1" applyFont="1" applyFill="1" applyBorder="1" applyAlignment="1" applyProtection="1">
      <alignment horizontal="center" vertical="center"/>
      <protection locked="0"/>
    </xf>
    <xf numFmtId="0" fontId="101" fillId="9" borderId="0" xfId="22" applyFont="1" applyBorder="1" applyAlignment="1">
      <alignment horizontal="center"/>
    </xf>
    <xf numFmtId="0" fontId="106" fillId="50" borderId="44" xfId="22" applyFont="1" applyFill="1" applyBorder="1" applyAlignment="1">
      <alignment horizontal="center" vertical="center"/>
    </xf>
    <xf numFmtId="0" fontId="106" fillId="50" borderId="45" xfId="22" applyFont="1" applyFill="1" applyBorder="1" applyAlignment="1">
      <alignment horizontal="center" vertical="center"/>
    </xf>
    <xf numFmtId="0" fontId="106" fillId="50" borderId="46" xfId="22" applyFont="1" applyFill="1" applyBorder="1" applyAlignment="1">
      <alignment horizontal="center" vertical="center"/>
    </xf>
    <xf numFmtId="0" fontId="95" fillId="9" borderId="47" xfId="22" applyFont="1" applyBorder="1" applyAlignment="1">
      <alignment horizontal="center" vertical="center" wrapText="1"/>
    </xf>
    <xf numFmtId="0" fontId="95" fillId="9" borderId="48" xfId="22" applyFont="1" applyBorder="1" applyAlignment="1">
      <alignment horizontal="center" vertical="center" wrapText="1"/>
    </xf>
    <xf numFmtId="0" fontId="95" fillId="9" borderId="34" xfId="22" applyFont="1" applyBorder="1" applyAlignment="1">
      <alignment horizontal="center" vertical="center" wrapText="1"/>
    </xf>
    <xf numFmtId="0" fontId="105" fillId="50" borderId="43" xfId="22" applyFont="1" applyFill="1" applyBorder="1" applyAlignment="1">
      <alignment horizontal="center" vertical="center"/>
    </xf>
    <xf numFmtId="0" fontId="105" fillId="50" borderId="38" xfId="22" applyFont="1" applyFill="1" applyBorder="1" applyAlignment="1">
      <alignment horizontal="center" vertical="center"/>
    </xf>
    <xf numFmtId="202" fontId="96" fillId="9" borderId="36" xfId="22" applyNumberFormat="1" applyFont="1" applyBorder="1" applyAlignment="1" applyProtection="1">
      <alignment horizontal="center" vertical="center"/>
      <protection locked="0"/>
    </xf>
    <xf numFmtId="202" fontId="96" fillId="9" borderId="38" xfId="22" applyNumberFormat="1" applyFont="1" applyBorder="1" applyAlignment="1" applyProtection="1">
      <alignment horizontal="center" vertical="center"/>
      <protection locked="0"/>
    </xf>
    <xf numFmtId="202" fontId="96" fillId="9" borderId="39" xfId="22" applyNumberFormat="1" applyFont="1" applyBorder="1" applyAlignment="1" applyProtection="1">
      <alignment horizontal="center" vertical="center"/>
      <protection locked="0"/>
    </xf>
    <xf numFmtId="202" fontId="96" fillId="9" borderId="40" xfId="22" applyNumberFormat="1" applyFont="1" applyBorder="1" applyAlignment="1" applyProtection="1">
      <alignment horizontal="center" vertical="center"/>
      <protection locked="0"/>
    </xf>
    <xf numFmtId="202" fontId="100" fillId="9" borderId="37" xfId="22" applyNumberFormat="1" applyFont="1" applyBorder="1" applyAlignment="1">
      <alignment horizontal="center" vertical="center"/>
    </xf>
    <xf numFmtId="202" fontId="100" fillId="9" borderId="41" xfId="22" applyNumberFormat="1" applyFont="1" applyBorder="1" applyAlignment="1">
      <alignment horizontal="center" vertical="center"/>
    </xf>
    <xf numFmtId="0" fontId="99" fillId="9" borderId="47" xfId="22" applyFont="1" applyBorder="1" applyAlignment="1">
      <alignment horizontal="center" vertical="center" wrapText="1"/>
    </xf>
    <xf numFmtId="0" fontId="99" fillId="9" borderId="34" xfId="22" applyFont="1" applyBorder="1" applyAlignment="1">
      <alignment horizontal="center" vertical="center" wrapText="1"/>
    </xf>
    <xf numFmtId="0" fontId="98" fillId="50" borderId="36" xfId="22" applyFont="1" applyFill="1" applyBorder="1" applyAlignment="1">
      <alignment horizontal="center" vertical="center"/>
    </xf>
    <xf numFmtId="0" fontId="98" fillId="50" borderId="37" xfId="22" applyFont="1" applyFill="1" applyBorder="1" applyAlignment="1">
      <alignment horizontal="center" vertical="center"/>
    </xf>
    <xf numFmtId="170" fontId="98" fillId="50" borderId="38" xfId="47" applyFont="1" applyFill="1" applyBorder="1" applyAlignment="1">
      <alignment horizontal="center" vertical="center"/>
    </xf>
    <xf numFmtId="170" fontId="98" fillId="50" borderId="41" xfId="47" applyFont="1" applyFill="1" applyBorder="1" applyAlignment="1">
      <alignment horizontal="center" vertical="center"/>
    </xf>
    <xf numFmtId="0" fontId="107" fillId="44" borderId="44" xfId="21" applyFont="1" applyFill="1" applyBorder="1" applyAlignment="1">
      <alignment horizontal="center" vertical="center"/>
    </xf>
    <xf numFmtId="0" fontId="107" fillId="44" borderId="45" xfId="21" applyFont="1" applyFill="1" applyBorder="1" applyAlignment="1">
      <alignment horizontal="center" vertical="center"/>
    </xf>
    <xf numFmtId="0" fontId="107" fillId="44" borderId="46" xfId="21" applyFont="1" applyFill="1" applyBorder="1" applyAlignment="1">
      <alignment horizontal="center" vertical="center"/>
    </xf>
    <xf numFmtId="0" fontId="104" fillId="8" borderId="0" xfId="21" applyFont="1" applyBorder="1" applyAlignment="1">
      <alignment horizontal="center"/>
    </xf>
    <xf numFmtId="202" fontId="96" fillId="8" borderId="36" xfId="21" applyNumberFormat="1" applyFont="1" applyBorder="1" applyAlignment="1" applyProtection="1">
      <alignment horizontal="center" vertical="center"/>
      <protection locked="0"/>
    </xf>
    <xf numFmtId="202" fontId="96" fillId="8" borderId="39" xfId="21" applyNumberFormat="1" applyFont="1" applyBorder="1" applyAlignment="1" applyProtection="1">
      <alignment horizontal="center" vertical="center"/>
      <protection locked="0"/>
    </xf>
    <xf numFmtId="202" fontId="96" fillId="8" borderId="37" xfId="21" applyNumberFormat="1" applyFont="1" applyBorder="1" applyAlignment="1" applyProtection="1">
      <alignment horizontal="center" vertical="center"/>
      <protection locked="0"/>
    </xf>
    <xf numFmtId="0" fontId="95" fillId="8" borderId="47" xfId="21" applyFont="1" applyBorder="1" applyAlignment="1">
      <alignment horizontal="center" vertical="center" wrapText="1"/>
    </xf>
    <xf numFmtId="0" fontId="95" fillId="8" borderId="48" xfId="21" applyFont="1" applyBorder="1" applyAlignment="1">
      <alignment horizontal="center" vertical="center" wrapText="1"/>
    </xf>
    <xf numFmtId="0" fontId="95" fillId="8" borderId="34" xfId="21" applyFont="1" applyBorder="1" applyAlignment="1">
      <alignment horizontal="center" vertical="center" wrapText="1"/>
    </xf>
    <xf numFmtId="0" fontId="107" fillId="44" borderId="36" xfId="21" applyFont="1" applyFill="1" applyBorder="1" applyAlignment="1">
      <alignment horizontal="center" vertical="center"/>
    </xf>
    <xf numFmtId="0" fontId="107" fillId="44" borderId="38" xfId="21" applyFont="1" applyFill="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5">
    <dxf>
      <fill>
        <patternFill>
          <bgColor theme="0" tint="-0.149959996342659"/>
        </patternFill>
      </fill>
    </dxf>
    <dxf>
      <font>
        <b/>
        <i val="0"/>
        <color theme="5" tint="-0.24993999302387238"/>
      </font>
      <fill>
        <patternFill>
          <bgColor rgb="FFFF0000"/>
        </patternFill>
      </fill>
    </dxf>
    <dxf>
      <font>
        <b/>
        <i val="0"/>
        <color theme="5" tint="-0.4999699890613556"/>
      </font>
      <fill>
        <patternFill>
          <bgColor rgb="FFFF0000"/>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edia&#231;&#227;o!A1" /><Relationship Id="rId2" Type="http://schemas.openxmlformats.org/officeDocument/2006/relationships/hyperlink" Target="#Expedita!A1" /><Relationship Id="rId3" Type="http://schemas.openxmlformats.org/officeDocument/2006/relationships/hyperlink" Target="#Ordin&#225;ria!A1" /><Relationship Id="rId4" Type="http://schemas.openxmlformats.org/officeDocument/2006/relationships/hyperlink" Target="#'Arbitragem de Emerg&#234;ncia'!A1" /></Relationships>
</file>

<file path=xl/drawings/_rels/drawing2.xml.rels><?xml version="1.0" encoding="utf-8" standalone="yes"?><Relationships xmlns="http://schemas.openxmlformats.org/package/2006/relationships"><Relationship Id="rId1" Type="http://schemas.openxmlformats.org/officeDocument/2006/relationships/hyperlink" Target="#SIMULADOR!A1" /></Relationships>
</file>

<file path=xl/drawings/_rels/drawing3.xml.rels><?xml version="1.0" encoding="utf-8" standalone="yes"?><Relationships xmlns="http://schemas.openxmlformats.org/package/2006/relationships"><Relationship Id="rId1" Type="http://schemas.openxmlformats.org/officeDocument/2006/relationships/hyperlink" Target="#SIMULADOR!A1" /></Relationships>
</file>

<file path=xl/drawings/_rels/drawing4.xml.rels><?xml version="1.0" encoding="utf-8" standalone="yes"?><Relationships xmlns="http://schemas.openxmlformats.org/package/2006/relationships"><Relationship Id="rId1" Type="http://schemas.openxmlformats.org/officeDocument/2006/relationships/hyperlink" Target="#SIMULADOR!A1" /></Relationships>
</file>

<file path=xl/drawings/_rels/drawing5.xml.rels><?xml version="1.0" encoding="utf-8" standalone="yes"?><Relationships xmlns="http://schemas.openxmlformats.org/package/2006/relationships"><Relationship Id="rId1" Type="http://schemas.openxmlformats.org/officeDocument/2006/relationships/hyperlink" Target="#SIMULADO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7</xdr:row>
      <xdr:rowOff>38100</xdr:rowOff>
    </xdr:from>
    <xdr:to>
      <xdr:col>1</xdr:col>
      <xdr:colOff>685800</xdr:colOff>
      <xdr:row>7</xdr:row>
      <xdr:rowOff>219075</xdr:rowOff>
    </xdr:to>
    <xdr:sp>
      <xdr:nvSpPr>
        <xdr:cNvPr id="1" name="Retângulo 1">
          <a:hlinkClick r:id="rId1"/>
        </xdr:cNvPr>
        <xdr:cNvSpPr>
          <a:spLocks/>
        </xdr:cNvSpPr>
      </xdr:nvSpPr>
      <xdr:spPr>
        <a:xfrm>
          <a:off x="1047750" y="2390775"/>
          <a:ext cx="400050" cy="180975"/>
        </a:xfrm>
        <a:prstGeom prst="rect">
          <a:avLst/>
        </a:prstGeom>
        <a:solidFill>
          <a:srgbClr val="403152"/>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285750</xdr:colOff>
      <xdr:row>9</xdr:row>
      <xdr:rowOff>47625</xdr:rowOff>
    </xdr:from>
    <xdr:to>
      <xdr:col>1</xdr:col>
      <xdr:colOff>685800</xdr:colOff>
      <xdr:row>9</xdr:row>
      <xdr:rowOff>228600</xdr:rowOff>
    </xdr:to>
    <xdr:sp>
      <xdr:nvSpPr>
        <xdr:cNvPr id="2" name="Retângulo 2">
          <a:hlinkClick r:id="rId2"/>
        </xdr:cNvPr>
        <xdr:cNvSpPr>
          <a:spLocks/>
        </xdr:cNvSpPr>
      </xdr:nvSpPr>
      <xdr:spPr>
        <a:xfrm>
          <a:off x="1047750" y="3019425"/>
          <a:ext cx="400050" cy="180975"/>
        </a:xfrm>
        <a:prstGeom prst="rect">
          <a:avLst/>
        </a:prstGeom>
        <a:solidFill>
          <a:srgbClr val="4F6228"/>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285750</xdr:colOff>
      <xdr:row>12</xdr:row>
      <xdr:rowOff>38100</xdr:rowOff>
    </xdr:from>
    <xdr:to>
      <xdr:col>1</xdr:col>
      <xdr:colOff>685800</xdr:colOff>
      <xdr:row>12</xdr:row>
      <xdr:rowOff>219075</xdr:rowOff>
    </xdr:to>
    <xdr:sp>
      <xdr:nvSpPr>
        <xdr:cNvPr id="3" name="Retângulo 3">
          <a:hlinkClick r:id="rId3"/>
        </xdr:cNvPr>
        <xdr:cNvSpPr>
          <a:spLocks/>
        </xdr:cNvSpPr>
      </xdr:nvSpPr>
      <xdr:spPr>
        <a:xfrm>
          <a:off x="1047750" y="3781425"/>
          <a:ext cx="400050" cy="180975"/>
        </a:xfrm>
        <a:prstGeom prst="rect">
          <a:avLst/>
        </a:prstGeom>
        <a:solidFill>
          <a:srgbClr val="632523"/>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285750</xdr:colOff>
      <xdr:row>15</xdr:row>
      <xdr:rowOff>47625</xdr:rowOff>
    </xdr:from>
    <xdr:to>
      <xdr:col>1</xdr:col>
      <xdr:colOff>685800</xdr:colOff>
      <xdr:row>15</xdr:row>
      <xdr:rowOff>228600</xdr:rowOff>
    </xdr:to>
    <xdr:sp>
      <xdr:nvSpPr>
        <xdr:cNvPr id="4" name="Retângulo 4">
          <a:hlinkClick r:id="rId4"/>
        </xdr:cNvPr>
        <xdr:cNvSpPr>
          <a:spLocks/>
        </xdr:cNvSpPr>
      </xdr:nvSpPr>
      <xdr:spPr>
        <a:xfrm>
          <a:off x="1047750" y="4562475"/>
          <a:ext cx="400050" cy="180975"/>
        </a:xfrm>
        <a:prstGeom prst="rect">
          <a:avLst/>
        </a:prstGeom>
        <a:solidFill>
          <a:srgbClr val="17375E"/>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8</xdr:row>
      <xdr:rowOff>209550</xdr:rowOff>
    </xdr:from>
    <xdr:to>
      <xdr:col>4</xdr:col>
      <xdr:colOff>1381125</xdr:colOff>
      <xdr:row>9</xdr:row>
      <xdr:rowOff>9525</xdr:rowOff>
    </xdr:to>
    <xdr:sp>
      <xdr:nvSpPr>
        <xdr:cNvPr id="1" name="Retângulo 2">
          <a:hlinkClick r:id="rId1"/>
        </xdr:cNvPr>
        <xdr:cNvSpPr>
          <a:spLocks/>
        </xdr:cNvSpPr>
      </xdr:nvSpPr>
      <xdr:spPr>
        <a:xfrm>
          <a:off x="7143750" y="3819525"/>
          <a:ext cx="400050" cy="180975"/>
        </a:xfrm>
        <a:prstGeom prst="rect">
          <a:avLst/>
        </a:prstGeom>
        <a:solidFill>
          <a:srgbClr val="403152"/>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9</xdr:row>
      <xdr:rowOff>28575</xdr:rowOff>
    </xdr:from>
    <xdr:to>
      <xdr:col>4</xdr:col>
      <xdr:colOff>1371600</xdr:colOff>
      <xdr:row>10</xdr:row>
      <xdr:rowOff>19050</xdr:rowOff>
    </xdr:to>
    <xdr:sp>
      <xdr:nvSpPr>
        <xdr:cNvPr id="1" name="Retângulo 2">
          <a:hlinkClick r:id="rId1"/>
        </xdr:cNvPr>
        <xdr:cNvSpPr>
          <a:spLocks/>
        </xdr:cNvSpPr>
      </xdr:nvSpPr>
      <xdr:spPr>
        <a:xfrm>
          <a:off x="6753225" y="3267075"/>
          <a:ext cx="400050" cy="180975"/>
        </a:xfrm>
        <a:prstGeom prst="rect">
          <a:avLst/>
        </a:prstGeom>
        <a:solidFill>
          <a:srgbClr val="4F6228"/>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10</xdr:row>
      <xdr:rowOff>19050</xdr:rowOff>
    </xdr:from>
    <xdr:to>
      <xdr:col>5</xdr:col>
      <xdr:colOff>1314450</xdr:colOff>
      <xdr:row>11</xdr:row>
      <xdr:rowOff>0</xdr:rowOff>
    </xdr:to>
    <xdr:sp>
      <xdr:nvSpPr>
        <xdr:cNvPr id="1" name="Retângulo 1">
          <a:hlinkClick r:id="rId1"/>
        </xdr:cNvPr>
        <xdr:cNvSpPr>
          <a:spLocks/>
        </xdr:cNvSpPr>
      </xdr:nvSpPr>
      <xdr:spPr>
        <a:xfrm>
          <a:off x="8543925" y="3771900"/>
          <a:ext cx="400050" cy="180975"/>
        </a:xfrm>
        <a:prstGeom prst="rect">
          <a:avLst/>
        </a:prstGeom>
        <a:solidFill>
          <a:srgbClr val="632523"/>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7</xdr:row>
      <xdr:rowOff>209550</xdr:rowOff>
    </xdr:from>
    <xdr:to>
      <xdr:col>4</xdr:col>
      <xdr:colOff>1352550</xdr:colOff>
      <xdr:row>8</xdr:row>
      <xdr:rowOff>9525</xdr:rowOff>
    </xdr:to>
    <xdr:sp>
      <xdr:nvSpPr>
        <xdr:cNvPr id="1" name="Retângulo 2">
          <a:hlinkClick r:id="rId1"/>
        </xdr:cNvPr>
        <xdr:cNvSpPr>
          <a:spLocks/>
        </xdr:cNvSpPr>
      </xdr:nvSpPr>
      <xdr:spPr>
        <a:xfrm>
          <a:off x="7067550" y="3429000"/>
          <a:ext cx="400050" cy="180975"/>
        </a:xfrm>
        <a:prstGeom prst="rect">
          <a:avLst/>
        </a:prstGeom>
        <a:solidFill>
          <a:srgbClr val="17375E"/>
        </a:soli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Q268"/>
  <sheetViews>
    <sheetView zoomScalePageLayoutView="0" workbookViewId="0" topLeftCell="B55">
      <selection activeCell="D94" sqref="D94"/>
    </sheetView>
  </sheetViews>
  <sheetFormatPr defaultColWidth="9.140625" defaultRowHeight="20.25" customHeight="1"/>
  <cols>
    <col min="1" max="4" width="8.8515625" style="0" customWidth="1"/>
    <col min="5" max="5" width="13.8515625" style="18" bestFit="1" customWidth="1"/>
    <col min="6" max="6" width="9.140625" style="18" customWidth="1"/>
    <col min="7" max="7" width="15.7109375" style="18" customWidth="1"/>
    <col min="8" max="8" width="17.140625" style="0" customWidth="1"/>
    <col min="9" max="9" width="8.8515625" style="0" customWidth="1"/>
    <col min="10" max="10" width="14.8515625" style="18" customWidth="1"/>
    <col min="11" max="11" width="9.140625" style="18" customWidth="1"/>
    <col min="12" max="13" width="8.8515625" style="0" customWidth="1"/>
    <col min="14" max="14" width="9.140625" style="5" customWidth="1"/>
    <col min="15" max="69" width="8.8515625" style="0" customWidth="1"/>
    <col min="70" max="16384" width="9.140625" style="128" customWidth="1"/>
  </cols>
  <sheetData>
    <row r="1" spans="1:32" s="117" customFormat="1" ht="20.25" customHeight="1">
      <c r="A1" s="107" t="s">
        <v>313</v>
      </c>
      <c r="B1" s="107" t="s">
        <v>314</v>
      </c>
      <c r="C1" s="107" t="s">
        <v>315</v>
      </c>
      <c r="D1" s="108" t="s">
        <v>316</v>
      </c>
      <c r="E1" s="107" t="s">
        <v>317</v>
      </c>
      <c r="F1" s="107" t="s">
        <v>318</v>
      </c>
      <c r="G1" s="107" t="s">
        <v>319</v>
      </c>
      <c r="H1" s="109" t="s">
        <v>320</v>
      </c>
      <c r="I1" s="110" t="s">
        <v>321</v>
      </c>
      <c r="J1" s="111" t="s">
        <v>322</v>
      </c>
      <c r="K1" s="112" t="s">
        <v>323</v>
      </c>
      <c r="L1" s="113" t="s">
        <v>324</v>
      </c>
      <c r="M1" s="112" t="s">
        <v>325</v>
      </c>
      <c r="N1" s="114" t="s">
        <v>326</v>
      </c>
      <c r="O1" s="107" t="s">
        <v>327</v>
      </c>
      <c r="P1" s="107" t="s">
        <v>328</v>
      </c>
      <c r="Q1" s="107" t="s">
        <v>329</v>
      </c>
      <c r="R1" s="112" t="s">
        <v>330</v>
      </c>
      <c r="S1" s="107" t="s">
        <v>331</v>
      </c>
      <c r="T1" s="107" t="s">
        <v>332</v>
      </c>
      <c r="U1" s="107" t="s">
        <v>333</v>
      </c>
      <c r="V1" s="115">
        <v>40840</v>
      </c>
      <c r="W1" s="116" t="s">
        <v>334</v>
      </c>
      <c r="Y1" s="8" t="s">
        <v>22</v>
      </c>
      <c r="Z1" s="9" t="s">
        <v>23</v>
      </c>
      <c r="AA1" s="10" t="s">
        <v>24</v>
      </c>
      <c r="AB1" t="s">
        <v>25</v>
      </c>
      <c r="AC1"/>
      <c r="AD1"/>
      <c r="AE1"/>
      <c r="AF1"/>
    </row>
    <row r="2" spans="1:69" ht="20.25" customHeight="1">
      <c r="A2" s="118">
        <v>1</v>
      </c>
      <c r="B2" s="119" t="s">
        <v>335</v>
      </c>
      <c r="C2" s="118" t="s">
        <v>336</v>
      </c>
      <c r="D2" s="120">
        <v>1989</v>
      </c>
      <c r="E2" s="121" t="s">
        <v>337</v>
      </c>
      <c r="H2" s="122"/>
      <c r="I2" s="123"/>
      <c r="K2" s="124">
        <v>32692</v>
      </c>
      <c r="L2" s="125">
        <v>32719</v>
      </c>
      <c r="M2" s="124">
        <v>32752</v>
      </c>
      <c r="N2" s="104" t="s">
        <v>195</v>
      </c>
      <c r="O2" s="118">
        <f aca="true" t="shared" si="0" ref="O2:O65">M2-K2</f>
        <v>60</v>
      </c>
      <c r="P2" s="118"/>
      <c r="Q2" s="118"/>
      <c r="R2" s="126"/>
      <c r="S2" s="127"/>
      <c r="T2" s="126"/>
      <c r="U2" s="126"/>
      <c r="V2" s="128"/>
      <c r="W2" s="128"/>
      <c r="X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row>
    <row r="3" spans="1:69" ht="20.25" customHeight="1">
      <c r="A3" s="118">
        <f>A2+1</f>
        <v>2</v>
      </c>
      <c r="B3" s="118" t="s">
        <v>335</v>
      </c>
      <c r="C3" s="118">
        <v>25701</v>
      </c>
      <c r="D3" s="120">
        <v>1994</v>
      </c>
      <c r="E3" s="129">
        <v>221991</v>
      </c>
      <c r="F3" s="118">
        <v>1.71</v>
      </c>
      <c r="G3" s="103">
        <f>E3*F3</f>
        <v>379604.61</v>
      </c>
      <c r="H3" s="122"/>
      <c r="I3" s="123"/>
      <c r="K3" s="124">
        <v>34428</v>
      </c>
      <c r="L3" s="125">
        <v>34428</v>
      </c>
      <c r="M3" s="124">
        <v>35156</v>
      </c>
      <c r="N3" s="104" t="s">
        <v>195</v>
      </c>
      <c r="O3" s="118">
        <f t="shared" si="0"/>
        <v>728</v>
      </c>
      <c r="P3" s="118"/>
      <c r="Q3" s="118"/>
      <c r="R3" s="126"/>
      <c r="S3" s="127"/>
      <c r="T3" s="126"/>
      <c r="U3" s="126"/>
      <c r="V3" s="128"/>
      <c r="W3" s="128"/>
      <c r="X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row>
    <row r="4" spans="1:69" ht="20.25" customHeight="1">
      <c r="A4" s="152">
        <v>1</v>
      </c>
      <c r="B4" s="118" t="s">
        <v>338</v>
      </c>
      <c r="C4" s="118">
        <v>1</v>
      </c>
      <c r="D4" s="120">
        <v>1998</v>
      </c>
      <c r="G4" s="103">
        <v>8200000</v>
      </c>
      <c r="H4" s="122">
        <v>8200000</v>
      </c>
      <c r="I4" s="123">
        <f>AB4</f>
        <v>3.1666127410017135</v>
      </c>
      <c r="J4" s="19">
        <f>I4*G4</f>
        <v>25966224.47621405</v>
      </c>
      <c r="K4" s="124">
        <v>36039</v>
      </c>
      <c r="L4" s="125">
        <v>36068</v>
      </c>
      <c r="M4" s="124">
        <v>36799</v>
      </c>
      <c r="N4" s="104" t="s">
        <v>195</v>
      </c>
      <c r="O4" s="118">
        <f t="shared" si="0"/>
        <v>760</v>
      </c>
      <c r="P4" s="118"/>
      <c r="Q4" s="118"/>
      <c r="R4" s="126"/>
      <c r="S4" s="127"/>
      <c r="T4" s="126"/>
      <c r="U4" s="126"/>
      <c r="V4" s="128"/>
      <c r="W4" s="128"/>
      <c r="X4" s="128"/>
      <c r="Y4" s="130">
        <v>36039</v>
      </c>
      <c r="Z4" s="14">
        <v>-0.08</v>
      </c>
      <c r="AA4" s="10">
        <f aca="true" t="shared" si="1" ref="AA4:AA36">Z4/100+1</f>
        <v>0.9992</v>
      </c>
      <c r="AB4">
        <f aca="true" t="shared" si="2" ref="AB4:AB67">AB5*AA4</f>
        <v>3.1666127410017135</v>
      </c>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row>
    <row r="5" spans="1:69" ht="20.25" customHeight="1">
      <c r="A5" s="152">
        <f aca="true" t="shared" si="3" ref="A5:A67">A4+1</f>
        <v>2</v>
      </c>
      <c r="B5" s="118" t="s">
        <v>338</v>
      </c>
      <c r="C5" s="118">
        <v>2</v>
      </c>
      <c r="D5" s="120">
        <v>1999</v>
      </c>
      <c r="G5" s="103">
        <v>3400000</v>
      </c>
      <c r="H5" s="122">
        <v>3400000</v>
      </c>
      <c r="I5" s="123">
        <f>AB9</f>
        <v>3.136204873708495</v>
      </c>
      <c r="J5" s="19">
        <f aca="true" t="shared" si="4" ref="J5:J68">I5*G5</f>
        <v>10663096.570608884</v>
      </c>
      <c r="K5" s="124">
        <v>36201</v>
      </c>
      <c r="L5" s="125" t="s">
        <v>339</v>
      </c>
      <c r="M5" s="124">
        <v>36402</v>
      </c>
      <c r="N5" s="104" t="s">
        <v>195</v>
      </c>
      <c r="O5" s="118">
        <f t="shared" si="0"/>
        <v>201</v>
      </c>
      <c r="P5" s="118"/>
      <c r="Q5" s="118"/>
      <c r="R5" s="126"/>
      <c r="S5" s="127"/>
      <c r="T5" s="126"/>
      <c r="U5" s="126"/>
      <c r="V5" s="128"/>
      <c r="W5" s="128"/>
      <c r="X5" s="128"/>
      <c r="Y5" s="12">
        <v>36069</v>
      </c>
      <c r="Z5" s="14">
        <v>0.08</v>
      </c>
      <c r="AA5" s="10">
        <f t="shared" si="1"/>
        <v>1.0008</v>
      </c>
      <c r="AB5">
        <f t="shared" si="2"/>
        <v>3.169148059449273</v>
      </c>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row>
    <row r="6" spans="1:69" ht="20.25" customHeight="1">
      <c r="A6" s="152">
        <f t="shared" si="3"/>
        <v>3</v>
      </c>
      <c r="B6" s="118" t="s">
        <v>338</v>
      </c>
      <c r="C6" s="118">
        <v>3</v>
      </c>
      <c r="D6" s="120">
        <v>1999</v>
      </c>
      <c r="G6" s="103">
        <v>171192</v>
      </c>
      <c r="H6" s="122">
        <v>171192</v>
      </c>
      <c r="I6" s="123">
        <f>AB13</f>
        <v>2.931376511713677</v>
      </c>
      <c r="J6" s="19">
        <f t="shared" si="4"/>
        <v>501828.2077932878</v>
      </c>
      <c r="K6" s="124">
        <v>36328</v>
      </c>
      <c r="L6" s="125">
        <v>36331</v>
      </c>
      <c r="M6" s="124">
        <v>36341</v>
      </c>
      <c r="N6" s="104" t="s">
        <v>195</v>
      </c>
      <c r="O6" s="118">
        <f t="shared" si="0"/>
        <v>13</v>
      </c>
      <c r="P6" s="118"/>
      <c r="Q6" s="118"/>
      <c r="R6" s="126"/>
      <c r="S6" s="127"/>
      <c r="T6" s="126"/>
      <c r="U6" s="126"/>
      <c r="V6" s="128"/>
      <c r="W6" s="128"/>
      <c r="X6" s="128"/>
      <c r="Y6" s="12">
        <v>36100</v>
      </c>
      <c r="Z6" s="14">
        <v>-0.32</v>
      </c>
      <c r="AA6" s="10">
        <f t="shared" si="1"/>
        <v>0.9968</v>
      </c>
      <c r="AB6">
        <f t="shared" si="2"/>
        <v>3.1666147676351653</v>
      </c>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row>
    <row r="7" spans="1:69" ht="20.25" customHeight="1">
      <c r="A7" s="152">
        <f t="shared" si="3"/>
        <v>4</v>
      </c>
      <c r="B7" s="118" t="s">
        <v>338</v>
      </c>
      <c r="C7" s="118">
        <v>4</v>
      </c>
      <c r="D7" s="120">
        <v>1999</v>
      </c>
      <c r="G7" s="103">
        <v>3500000</v>
      </c>
      <c r="H7" s="122">
        <v>3500000</v>
      </c>
      <c r="I7" s="123">
        <f>AB14</f>
        <v>2.9208614106353896</v>
      </c>
      <c r="J7" s="19">
        <f t="shared" si="4"/>
        <v>10223014.937223863</v>
      </c>
      <c r="K7" s="124">
        <v>36362</v>
      </c>
      <c r="L7" s="125">
        <v>36402</v>
      </c>
      <c r="M7" s="124">
        <v>36463</v>
      </c>
      <c r="N7" s="104" t="s">
        <v>195</v>
      </c>
      <c r="O7" s="118">
        <f t="shared" si="0"/>
        <v>101</v>
      </c>
      <c r="P7" s="118"/>
      <c r="Q7" s="118"/>
      <c r="R7" s="126"/>
      <c r="S7" s="127"/>
      <c r="T7" s="126"/>
      <c r="U7" s="126"/>
      <c r="V7" s="128"/>
      <c r="W7" s="128"/>
      <c r="X7" s="128"/>
      <c r="Y7" s="12">
        <v>36130</v>
      </c>
      <c r="Z7" s="14">
        <v>0.45</v>
      </c>
      <c r="AA7" s="10">
        <f t="shared" si="1"/>
        <v>1.0045</v>
      </c>
      <c r="AB7">
        <f t="shared" si="2"/>
        <v>3.1767804651235605</v>
      </c>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row>
    <row r="8" spans="1:69" ht="20.25" customHeight="1">
      <c r="A8" s="152">
        <f t="shared" si="3"/>
        <v>5</v>
      </c>
      <c r="B8" s="118" t="s">
        <v>338</v>
      </c>
      <c r="C8" s="118">
        <v>5</v>
      </c>
      <c r="D8" s="120">
        <v>1999</v>
      </c>
      <c r="G8" s="103">
        <v>6167166.77</v>
      </c>
      <c r="H8" s="122">
        <v>6167166.77</v>
      </c>
      <c r="I8" s="123">
        <f>AB13</f>
        <v>2.931376511713677</v>
      </c>
      <c r="J8" s="19">
        <f t="shared" si="4"/>
        <v>18078287.813399103</v>
      </c>
      <c r="K8" s="124">
        <v>36335</v>
      </c>
      <c r="L8" s="125">
        <v>36495</v>
      </c>
      <c r="M8" s="124">
        <v>36463</v>
      </c>
      <c r="N8" s="104" t="s">
        <v>195</v>
      </c>
      <c r="O8" s="118">
        <f t="shared" si="0"/>
        <v>128</v>
      </c>
      <c r="P8" s="118"/>
      <c r="Q8" s="118"/>
      <c r="R8" s="126"/>
      <c r="S8" s="127"/>
      <c r="T8" s="126"/>
      <c r="U8" s="126"/>
      <c r="V8" s="128"/>
      <c r="W8" s="128"/>
      <c r="X8" s="128"/>
      <c r="Y8" s="12">
        <v>36161</v>
      </c>
      <c r="Z8" s="14">
        <v>0.84</v>
      </c>
      <c r="AA8" s="10">
        <f t="shared" si="1"/>
        <v>1.0084</v>
      </c>
      <c r="AB8">
        <f t="shared" si="2"/>
        <v>3.162548994647646</v>
      </c>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row>
    <row r="9" spans="1:69" ht="20.25" customHeight="1">
      <c r="A9" s="152">
        <f t="shared" si="3"/>
        <v>6</v>
      </c>
      <c r="B9" s="118" t="s">
        <v>338</v>
      </c>
      <c r="C9" s="118">
        <v>6</v>
      </c>
      <c r="D9" s="120">
        <v>1999</v>
      </c>
      <c r="G9" s="103">
        <v>13652500</v>
      </c>
      <c r="H9" s="122">
        <v>13652500</v>
      </c>
      <c r="I9" s="123">
        <f>AB13</f>
        <v>2.931376511713677</v>
      </c>
      <c r="J9" s="19">
        <f t="shared" si="4"/>
        <v>40020617.82617097</v>
      </c>
      <c r="K9" s="124">
        <v>36327</v>
      </c>
      <c r="L9" s="125" t="s">
        <v>340</v>
      </c>
      <c r="M9" s="124">
        <v>36880</v>
      </c>
      <c r="N9" s="104" t="s">
        <v>195</v>
      </c>
      <c r="O9" s="118">
        <f t="shared" si="0"/>
        <v>553</v>
      </c>
      <c r="P9" s="118"/>
      <c r="Q9" s="118"/>
      <c r="R9" s="126"/>
      <c r="S9" s="127"/>
      <c r="T9" s="126"/>
      <c r="U9" s="126"/>
      <c r="V9" s="128"/>
      <c r="W9" s="128"/>
      <c r="X9" s="128"/>
      <c r="Y9" s="130">
        <v>36192</v>
      </c>
      <c r="Z9" s="14">
        <v>3.61</v>
      </c>
      <c r="AA9" s="10">
        <f t="shared" si="1"/>
        <v>1.0361</v>
      </c>
      <c r="AB9">
        <f t="shared" si="2"/>
        <v>3.136204873708495</v>
      </c>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row>
    <row r="10" spans="1:69" ht="20.25" customHeight="1">
      <c r="A10" s="118">
        <v>1</v>
      </c>
      <c r="B10" s="118" t="s">
        <v>338</v>
      </c>
      <c r="C10" s="118">
        <v>1</v>
      </c>
      <c r="D10" s="120">
        <v>2000</v>
      </c>
      <c r="G10" s="103">
        <v>41189761</v>
      </c>
      <c r="H10" s="122">
        <v>41189761</v>
      </c>
      <c r="I10" s="123">
        <f>AB25</f>
        <v>2.5740970603022197</v>
      </c>
      <c r="J10" s="19">
        <f t="shared" si="4"/>
        <v>106026442.70465101</v>
      </c>
      <c r="K10" s="124">
        <v>36692</v>
      </c>
      <c r="L10" s="125">
        <v>36799</v>
      </c>
      <c r="M10" s="124">
        <v>37771</v>
      </c>
      <c r="N10" s="104" t="s">
        <v>195</v>
      </c>
      <c r="O10" s="118">
        <f t="shared" si="0"/>
        <v>1079</v>
      </c>
      <c r="P10" s="118"/>
      <c r="Q10" s="118"/>
      <c r="R10" s="126"/>
      <c r="S10" s="127"/>
      <c r="T10" s="126"/>
      <c r="U10" s="126"/>
      <c r="V10" s="128"/>
      <c r="W10" s="128"/>
      <c r="X10" s="128"/>
      <c r="Y10" s="12">
        <v>36220</v>
      </c>
      <c r="Z10" s="14">
        <v>2.83</v>
      </c>
      <c r="AA10" s="10">
        <f t="shared" si="1"/>
        <v>1.0283</v>
      </c>
      <c r="AB10">
        <f t="shared" si="2"/>
        <v>3.0269326066098783</v>
      </c>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row>
    <row r="11" spans="1:69" ht="20.25" customHeight="1">
      <c r="A11" s="118">
        <f t="shared" si="3"/>
        <v>2</v>
      </c>
      <c r="B11" s="118" t="s">
        <v>338</v>
      </c>
      <c r="C11" s="118">
        <v>2</v>
      </c>
      <c r="D11" s="120">
        <v>2000</v>
      </c>
      <c r="E11" s="129">
        <v>36156509.67</v>
      </c>
      <c r="F11" s="118">
        <v>1.71</v>
      </c>
      <c r="G11" s="103">
        <f>E11*F11</f>
        <v>61827631.5357</v>
      </c>
      <c r="H11" s="122"/>
      <c r="I11" s="123">
        <f>AB29</f>
        <v>2.426147495867059</v>
      </c>
      <c r="J11" s="19">
        <f t="shared" si="4"/>
        <v>150002953.42572975</v>
      </c>
      <c r="K11" s="124">
        <v>36816</v>
      </c>
      <c r="L11" s="125" t="s">
        <v>341</v>
      </c>
      <c r="M11" s="124">
        <v>37133</v>
      </c>
      <c r="N11" s="104" t="s">
        <v>195</v>
      </c>
      <c r="O11" s="118">
        <f t="shared" si="0"/>
        <v>317</v>
      </c>
      <c r="P11" s="118"/>
      <c r="Q11" s="118"/>
      <c r="R11" s="126"/>
      <c r="S11" s="127"/>
      <c r="T11" s="126"/>
      <c r="U11" s="126"/>
      <c r="V11" s="128"/>
      <c r="W11" s="128"/>
      <c r="X11" s="128"/>
      <c r="Y11" s="12">
        <v>36251</v>
      </c>
      <c r="Z11" s="14">
        <v>0.71</v>
      </c>
      <c r="AA11" s="10">
        <f t="shared" si="1"/>
        <v>1.0071</v>
      </c>
      <c r="AB11">
        <f t="shared" si="2"/>
        <v>2.943627936020498</v>
      </c>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row>
    <row r="12" spans="1:69" ht="20.25" customHeight="1">
      <c r="A12" s="118">
        <f t="shared" si="3"/>
        <v>3</v>
      </c>
      <c r="B12" s="118" t="s">
        <v>338</v>
      </c>
      <c r="C12" s="118">
        <v>3</v>
      </c>
      <c r="D12" s="120">
        <v>2000</v>
      </c>
      <c r="G12" s="103">
        <v>7717110</v>
      </c>
      <c r="H12" s="122">
        <v>7717110</v>
      </c>
      <c r="I12" s="123">
        <f>AB30</f>
        <v>2.4169630363290087</v>
      </c>
      <c r="J12" s="19">
        <f t="shared" si="4"/>
        <v>18651969.617284957</v>
      </c>
      <c r="K12" s="124">
        <v>36852</v>
      </c>
      <c r="L12" s="125">
        <v>36923</v>
      </c>
      <c r="M12" s="124">
        <v>38382</v>
      </c>
      <c r="N12" s="104" t="s">
        <v>195</v>
      </c>
      <c r="O12" s="118">
        <f t="shared" si="0"/>
        <v>1530</v>
      </c>
      <c r="P12" s="118"/>
      <c r="Q12" s="118"/>
      <c r="R12" s="126"/>
      <c r="S12" s="127"/>
      <c r="T12" s="126"/>
      <c r="U12" s="126"/>
      <c r="V12" s="128"/>
      <c r="W12" s="128"/>
      <c r="X12" s="128"/>
      <c r="Y12" s="12">
        <v>36281</v>
      </c>
      <c r="Z12" s="14">
        <v>-0.29</v>
      </c>
      <c r="AA12" s="10">
        <f t="shared" si="1"/>
        <v>0.9971</v>
      </c>
      <c r="AB12">
        <f t="shared" si="2"/>
        <v>2.922875519829707</v>
      </c>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row>
    <row r="13" spans="1:69" ht="20.25" customHeight="1">
      <c r="A13" s="118">
        <f t="shared" si="3"/>
        <v>4</v>
      </c>
      <c r="B13" s="118" t="s">
        <v>338</v>
      </c>
      <c r="C13" s="118">
        <v>4</v>
      </c>
      <c r="D13" s="120">
        <v>2000</v>
      </c>
      <c r="E13" s="129">
        <v>1700000</v>
      </c>
      <c r="F13" s="118">
        <v>1.71</v>
      </c>
      <c r="G13" s="103">
        <f>E13*F13</f>
        <v>2907000</v>
      </c>
      <c r="H13" s="122"/>
      <c r="I13" s="123">
        <f>AB31</f>
        <v>2.4099741114059317</v>
      </c>
      <c r="J13" s="19">
        <f t="shared" si="4"/>
        <v>7005794.7418570435</v>
      </c>
      <c r="K13" s="124">
        <v>36874</v>
      </c>
      <c r="L13" s="125">
        <v>36980</v>
      </c>
      <c r="M13" s="124">
        <v>37286</v>
      </c>
      <c r="N13" s="104" t="s">
        <v>195</v>
      </c>
      <c r="O13" s="118">
        <f t="shared" si="0"/>
        <v>412</v>
      </c>
      <c r="P13" s="118"/>
      <c r="Q13" s="118"/>
      <c r="R13" s="126"/>
      <c r="S13" s="127"/>
      <c r="T13" s="126"/>
      <c r="U13" s="126"/>
      <c r="V13" s="128"/>
      <c r="W13" s="128"/>
      <c r="X13" s="128"/>
      <c r="Y13" s="130">
        <v>36312</v>
      </c>
      <c r="Z13" s="14">
        <v>0.36</v>
      </c>
      <c r="AA13" s="10">
        <f t="shared" si="1"/>
        <v>1.0036</v>
      </c>
      <c r="AB13">
        <f t="shared" si="2"/>
        <v>2.931376511713677</v>
      </c>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row>
    <row r="14" spans="1:69" ht="20.25" customHeight="1">
      <c r="A14" s="118">
        <f t="shared" si="3"/>
        <v>5</v>
      </c>
      <c r="B14" s="118" t="s">
        <v>338</v>
      </c>
      <c r="C14" s="118">
        <v>5</v>
      </c>
      <c r="D14" s="120">
        <v>2000</v>
      </c>
      <c r="G14" s="103">
        <v>3684832.4</v>
      </c>
      <c r="H14" s="122">
        <v>3684832.4</v>
      </c>
      <c r="I14" s="123">
        <f>AB30</f>
        <v>2.4169630363290087</v>
      </c>
      <c r="J14" s="19">
        <f t="shared" si="4"/>
        <v>8906103.705867508</v>
      </c>
      <c r="K14" s="124">
        <v>36854</v>
      </c>
      <c r="L14" s="125">
        <v>36831</v>
      </c>
      <c r="M14" s="124">
        <v>37041</v>
      </c>
      <c r="N14" s="104" t="s">
        <v>195</v>
      </c>
      <c r="O14" s="118">
        <f t="shared" si="0"/>
        <v>187</v>
      </c>
      <c r="P14" s="118"/>
      <c r="Q14" s="118"/>
      <c r="R14" s="126"/>
      <c r="S14" s="127"/>
      <c r="T14" s="126"/>
      <c r="U14" s="126"/>
      <c r="V14" s="128"/>
      <c r="W14" s="128"/>
      <c r="X14" s="128"/>
      <c r="Y14" s="130">
        <v>36342</v>
      </c>
      <c r="Z14" s="14">
        <v>1.55</v>
      </c>
      <c r="AA14" s="10">
        <f t="shared" si="1"/>
        <v>1.0155</v>
      </c>
      <c r="AB14">
        <f t="shared" si="2"/>
        <v>2.9208614106353896</v>
      </c>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row>
    <row r="15" spans="1:69" ht="20.25" customHeight="1">
      <c r="A15" s="152">
        <v>1</v>
      </c>
      <c r="B15" s="118" t="s">
        <v>338</v>
      </c>
      <c r="C15" s="118">
        <v>1</v>
      </c>
      <c r="D15" s="120">
        <v>2001</v>
      </c>
      <c r="E15" s="129">
        <v>7500000</v>
      </c>
      <c r="F15" s="118">
        <v>1.71</v>
      </c>
      <c r="G15" s="103">
        <f>E15*F15</f>
        <v>12825000</v>
      </c>
      <c r="H15" s="122"/>
      <c r="I15" s="123">
        <f>AB36</f>
        <v>2.338063073104325</v>
      </c>
      <c r="J15" s="19">
        <f t="shared" si="4"/>
        <v>29985658.912562966</v>
      </c>
      <c r="K15" s="124">
        <v>37035</v>
      </c>
      <c r="L15" s="125">
        <v>37133</v>
      </c>
      <c r="M15" s="124">
        <v>37590</v>
      </c>
      <c r="N15" s="104" t="s">
        <v>195</v>
      </c>
      <c r="O15" s="118">
        <f t="shared" si="0"/>
        <v>555</v>
      </c>
      <c r="P15" s="118"/>
      <c r="Q15" s="118"/>
      <c r="R15" s="126"/>
      <c r="S15" s="127"/>
      <c r="T15" s="126"/>
      <c r="U15" s="126"/>
      <c r="V15" s="128"/>
      <c r="W15" s="128"/>
      <c r="X15" s="128"/>
      <c r="Y15" s="12">
        <v>36373</v>
      </c>
      <c r="Z15" s="14">
        <v>1.56</v>
      </c>
      <c r="AA15" s="10">
        <f t="shared" si="1"/>
        <v>1.0156</v>
      </c>
      <c r="AB15">
        <f t="shared" si="2"/>
        <v>2.876279084820669</v>
      </c>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row>
    <row r="16" spans="1:69" ht="20.25" customHeight="1">
      <c r="A16" s="118">
        <v>1</v>
      </c>
      <c r="B16" s="118" t="s">
        <v>335</v>
      </c>
      <c r="C16" s="118">
        <v>1</v>
      </c>
      <c r="D16" s="120">
        <v>2002</v>
      </c>
      <c r="G16" s="103">
        <v>10242319.51</v>
      </c>
      <c r="H16" s="122">
        <v>10242319.51</v>
      </c>
      <c r="I16" s="123">
        <f>AB43</f>
        <v>2.174598509870109</v>
      </c>
      <c r="J16" s="19">
        <f t="shared" si="4"/>
        <v>22272932.744059544</v>
      </c>
      <c r="K16" s="124">
        <v>37244</v>
      </c>
      <c r="L16" s="125">
        <v>37406</v>
      </c>
      <c r="M16" s="124">
        <v>37529</v>
      </c>
      <c r="N16" s="104" t="s">
        <v>195</v>
      </c>
      <c r="O16" s="118">
        <f t="shared" si="0"/>
        <v>285</v>
      </c>
      <c r="P16" s="118"/>
      <c r="Q16" s="118"/>
      <c r="R16" s="126"/>
      <c r="S16" s="127"/>
      <c r="T16" s="126"/>
      <c r="U16" s="126"/>
      <c r="V16" s="128"/>
      <c r="W16" s="128"/>
      <c r="X16" s="128"/>
      <c r="Y16" s="12">
        <v>36404</v>
      </c>
      <c r="Z16" s="14">
        <v>1.45</v>
      </c>
      <c r="AA16" s="10">
        <f t="shared" si="1"/>
        <v>1.0145</v>
      </c>
      <c r="AB16">
        <f t="shared" si="2"/>
        <v>2.8320983505520565</v>
      </c>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row>
    <row r="17" spans="1:69" ht="20.25" customHeight="1">
      <c r="A17" s="118">
        <f t="shared" si="3"/>
        <v>2</v>
      </c>
      <c r="B17" s="118" t="s">
        <v>335</v>
      </c>
      <c r="C17" s="118">
        <v>2</v>
      </c>
      <c r="D17" s="120">
        <v>2002</v>
      </c>
      <c r="G17" s="103">
        <v>5724444.6</v>
      </c>
      <c r="H17" s="122">
        <v>5724444.6</v>
      </c>
      <c r="I17" s="123">
        <f>AB46</f>
        <v>2.160745098477867</v>
      </c>
      <c r="J17" s="19">
        <f t="shared" si="4"/>
        <v>12369065.610958094</v>
      </c>
      <c r="K17" s="124">
        <v>37316</v>
      </c>
      <c r="L17" s="125">
        <v>37345</v>
      </c>
      <c r="M17" s="124">
        <v>37651</v>
      </c>
      <c r="N17" s="104" t="s">
        <v>195</v>
      </c>
      <c r="O17" s="118">
        <f t="shared" si="0"/>
        <v>335</v>
      </c>
      <c r="P17" s="118"/>
      <c r="Q17" s="118"/>
      <c r="R17" s="126"/>
      <c r="S17" s="127"/>
      <c r="T17" s="126"/>
      <c r="U17" s="126"/>
      <c r="V17" s="128"/>
      <c r="W17" s="128"/>
      <c r="X17" s="128"/>
      <c r="Y17" s="12">
        <v>36434</v>
      </c>
      <c r="Z17" s="14">
        <v>1.7</v>
      </c>
      <c r="AA17" s="10">
        <f t="shared" si="1"/>
        <v>1.017</v>
      </c>
      <c r="AB17">
        <f t="shared" si="2"/>
        <v>2.791619862545152</v>
      </c>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row>
    <row r="18" spans="1:69" ht="20.25" customHeight="1">
      <c r="A18" s="118">
        <f t="shared" si="3"/>
        <v>3</v>
      </c>
      <c r="B18" s="118" t="s">
        <v>335</v>
      </c>
      <c r="C18" s="118">
        <v>3</v>
      </c>
      <c r="D18" s="120">
        <v>2002</v>
      </c>
      <c r="H18" s="122"/>
      <c r="I18" s="123">
        <f>AB46</f>
        <v>2.160745098477867</v>
      </c>
      <c r="J18" s="19">
        <f t="shared" si="4"/>
        <v>0</v>
      </c>
      <c r="K18" s="124">
        <v>37323</v>
      </c>
      <c r="L18" s="125">
        <v>37437</v>
      </c>
      <c r="M18" s="124">
        <v>37771</v>
      </c>
      <c r="N18" s="104" t="s">
        <v>195</v>
      </c>
      <c r="O18" s="118">
        <f t="shared" si="0"/>
        <v>448</v>
      </c>
      <c r="P18" s="118"/>
      <c r="Q18" s="118"/>
      <c r="R18" s="126"/>
      <c r="S18" s="127"/>
      <c r="T18" s="126"/>
      <c r="U18" s="126"/>
      <c r="V18" s="128"/>
      <c r="W18" s="128"/>
      <c r="X18" s="128"/>
      <c r="Y18" s="12">
        <v>36465</v>
      </c>
      <c r="Z18" s="14">
        <v>2.39</v>
      </c>
      <c r="AA18" s="10">
        <f t="shared" si="1"/>
        <v>1.0239</v>
      </c>
      <c r="AB18">
        <f t="shared" si="2"/>
        <v>2.7449556170552136</v>
      </c>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row>
    <row r="19" spans="1:69" ht="20.25" customHeight="1">
      <c r="A19" s="118">
        <f t="shared" si="3"/>
        <v>4</v>
      </c>
      <c r="B19" s="118" t="s">
        <v>335</v>
      </c>
      <c r="C19" s="118">
        <v>4</v>
      </c>
      <c r="D19" s="120">
        <v>2002</v>
      </c>
      <c r="G19" s="103">
        <v>21800000</v>
      </c>
      <c r="H19" s="122">
        <v>21800000</v>
      </c>
      <c r="I19" s="123">
        <f>AB48</f>
        <v>2.146780207357797</v>
      </c>
      <c r="J19" s="19">
        <f t="shared" si="4"/>
        <v>46799808.52039997</v>
      </c>
      <c r="K19" s="124">
        <v>37396</v>
      </c>
      <c r="L19" s="125">
        <v>37437</v>
      </c>
      <c r="M19" s="124">
        <v>37651</v>
      </c>
      <c r="N19" s="104" t="s">
        <v>195</v>
      </c>
      <c r="O19" s="118">
        <f t="shared" si="0"/>
        <v>255</v>
      </c>
      <c r="P19" s="118"/>
      <c r="Q19" s="118"/>
      <c r="R19" s="126"/>
      <c r="S19" s="127"/>
      <c r="T19" s="126"/>
      <c r="U19" s="126"/>
      <c r="V19" s="128"/>
      <c r="W19" s="128"/>
      <c r="X19" s="128"/>
      <c r="Y19" s="12">
        <v>36495</v>
      </c>
      <c r="Z19" s="14">
        <v>1.81</v>
      </c>
      <c r="AA19" s="10">
        <f t="shared" si="1"/>
        <v>1.0181</v>
      </c>
      <c r="AB19">
        <f t="shared" si="2"/>
        <v>2.6808825247145363</v>
      </c>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row>
    <row r="20" spans="1:69" ht="20.25" customHeight="1">
      <c r="A20" s="118">
        <f t="shared" si="3"/>
        <v>5</v>
      </c>
      <c r="B20" s="118" t="s">
        <v>335</v>
      </c>
      <c r="C20" s="118">
        <v>5</v>
      </c>
      <c r="D20" s="120">
        <v>2002</v>
      </c>
      <c r="E20" s="129">
        <v>800000</v>
      </c>
      <c r="F20" s="118">
        <v>1.71</v>
      </c>
      <c r="G20" s="103">
        <f>E20*F20</f>
        <v>1368000</v>
      </c>
      <c r="H20" s="122"/>
      <c r="I20" s="123">
        <f>AB50</f>
        <v>2.0968176146627826</v>
      </c>
      <c r="J20" s="19">
        <f t="shared" si="4"/>
        <v>2868446.4968586867</v>
      </c>
      <c r="K20" s="124">
        <v>37449</v>
      </c>
      <c r="L20" s="125">
        <v>37529</v>
      </c>
      <c r="M20" s="124">
        <v>37590</v>
      </c>
      <c r="N20" s="104" t="s">
        <v>195</v>
      </c>
      <c r="O20" s="118">
        <f t="shared" si="0"/>
        <v>141</v>
      </c>
      <c r="P20" s="118"/>
      <c r="Q20" s="118"/>
      <c r="R20" s="126"/>
      <c r="S20" s="127"/>
      <c r="T20" s="126"/>
      <c r="U20" s="126"/>
      <c r="V20" s="128"/>
      <c r="W20" s="128"/>
      <c r="X20" s="128"/>
      <c r="Y20" s="12">
        <v>36526</v>
      </c>
      <c r="Z20" s="14">
        <v>1.24</v>
      </c>
      <c r="AA20" s="10">
        <f t="shared" si="1"/>
        <v>1.0124</v>
      </c>
      <c r="AB20">
        <f t="shared" si="2"/>
        <v>2.633221220621291</v>
      </c>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row>
    <row r="21" spans="1:69" ht="20.25" customHeight="1">
      <c r="A21" s="118">
        <f t="shared" si="3"/>
        <v>6</v>
      </c>
      <c r="B21" s="118" t="s">
        <v>335</v>
      </c>
      <c r="C21" s="118">
        <v>6</v>
      </c>
      <c r="D21" s="120">
        <v>2002</v>
      </c>
      <c r="G21" s="103">
        <v>1211000</v>
      </c>
      <c r="H21" s="122">
        <v>1211000</v>
      </c>
      <c r="I21" s="123">
        <f>AB51</f>
        <v>2.056711735814402</v>
      </c>
      <c r="J21" s="19">
        <f t="shared" si="4"/>
        <v>2490677.9120712406</v>
      </c>
      <c r="K21" s="124">
        <v>37496</v>
      </c>
      <c r="L21" s="125">
        <v>37559</v>
      </c>
      <c r="M21" s="124">
        <v>37955</v>
      </c>
      <c r="N21" s="104" t="s">
        <v>195</v>
      </c>
      <c r="O21" s="118">
        <f t="shared" si="0"/>
        <v>459</v>
      </c>
      <c r="P21" s="118"/>
      <c r="Q21" s="118"/>
      <c r="R21" s="126"/>
      <c r="S21" s="127"/>
      <c r="T21" s="126"/>
      <c r="U21" s="126"/>
      <c r="V21" s="128"/>
      <c r="W21" s="128"/>
      <c r="X21" s="128"/>
      <c r="Y21" s="12">
        <v>36557</v>
      </c>
      <c r="Z21" s="14">
        <v>0.35</v>
      </c>
      <c r="AA21" s="10">
        <f t="shared" si="1"/>
        <v>1.0035</v>
      </c>
      <c r="AB21">
        <f t="shared" si="2"/>
        <v>2.6009692025101647</v>
      </c>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row>
    <row r="22" spans="1:69" ht="20.25" customHeight="1">
      <c r="A22" s="118">
        <f t="shared" si="3"/>
        <v>7</v>
      </c>
      <c r="B22" s="118" t="s">
        <v>335</v>
      </c>
      <c r="C22" s="118">
        <v>7</v>
      </c>
      <c r="D22" s="120">
        <v>2002</v>
      </c>
      <c r="E22" s="129">
        <v>778808.03</v>
      </c>
      <c r="F22" s="118">
        <v>1.71</v>
      </c>
      <c r="G22" s="103">
        <f>E22*F22</f>
        <v>1331761.7313</v>
      </c>
      <c r="H22" s="122"/>
      <c r="I22" s="123">
        <f>AB54</f>
        <v>1.8898302940719673</v>
      </c>
      <c r="J22" s="19">
        <f t="shared" si="4"/>
        <v>2516803.6642964715</v>
      </c>
      <c r="K22" s="124">
        <v>37566</v>
      </c>
      <c r="L22" s="125">
        <v>37834</v>
      </c>
      <c r="M22" s="124">
        <v>38168</v>
      </c>
      <c r="N22" s="104" t="s">
        <v>195</v>
      </c>
      <c r="O22" s="118">
        <f t="shared" si="0"/>
        <v>602</v>
      </c>
      <c r="P22" s="118"/>
      <c r="Q22" s="118"/>
      <c r="R22" s="126"/>
      <c r="S22" s="127"/>
      <c r="T22" s="126"/>
      <c r="U22" s="126"/>
      <c r="V22" s="128"/>
      <c r="W22" s="128"/>
      <c r="X22" s="128"/>
      <c r="Y22" s="12">
        <v>36586</v>
      </c>
      <c r="Z22" s="14">
        <v>0.15</v>
      </c>
      <c r="AA22" s="10">
        <f t="shared" si="1"/>
        <v>1.0015</v>
      </c>
      <c r="AB22">
        <f t="shared" si="2"/>
        <v>2.5918975610465016</v>
      </c>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row>
    <row r="23" spans="1:69" ht="20.25" customHeight="1">
      <c r="A23" s="118">
        <f t="shared" si="3"/>
        <v>8</v>
      </c>
      <c r="B23" s="118" t="s">
        <v>335</v>
      </c>
      <c r="C23" s="118">
        <v>8</v>
      </c>
      <c r="D23" s="120">
        <v>2002</v>
      </c>
      <c r="G23" s="103">
        <v>6978593</v>
      </c>
      <c r="H23" s="122">
        <v>6978593</v>
      </c>
      <c r="I23" s="123">
        <f>AB55</f>
        <v>1.7965874076166624</v>
      </c>
      <c r="J23" s="19">
        <f t="shared" si="4"/>
        <v>12537652.306681786</v>
      </c>
      <c r="K23" s="124">
        <v>37600</v>
      </c>
      <c r="L23" s="125" t="s">
        <v>342</v>
      </c>
      <c r="M23" s="124">
        <v>37985</v>
      </c>
      <c r="N23" s="104" t="s">
        <v>195</v>
      </c>
      <c r="O23" s="118">
        <f t="shared" si="0"/>
        <v>385</v>
      </c>
      <c r="P23" s="118"/>
      <c r="Q23" s="118"/>
      <c r="R23" s="126"/>
      <c r="S23" s="127"/>
      <c r="T23" s="126"/>
      <c r="U23" s="126"/>
      <c r="V23" s="128"/>
      <c r="W23" s="128"/>
      <c r="X23" s="128"/>
      <c r="Y23" s="12">
        <v>36617</v>
      </c>
      <c r="Z23" s="14">
        <v>0.23</v>
      </c>
      <c r="AA23" s="10">
        <f t="shared" si="1"/>
        <v>1.0023</v>
      </c>
      <c r="AB23">
        <f t="shared" si="2"/>
        <v>2.5880155377398917</v>
      </c>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row>
    <row r="24" spans="1:69" ht="20.25" customHeight="1">
      <c r="A24" s="118">
        <f t="shared" si="3"/>
        <v>9</v>
      </c>
      <c r="B24" s="118" t="s">
        <v>338</v>
      </c>
      <c r="C24" s="118">
        <v>9</v>
      </c>
      <c r="D24" s="120">
        <v>2002</v>
      </c>
      <c r="G24" s="103">
        <v>3061300</v>
      </c>
      <c r="H24" s="122">
        <v>3061300</v>
      </c>
      <c r="I24" s="123">
        <f>AB55</f>
        <v>1.7965874076166624</v>
      </c>
      <c r="J24" s="19">
        <f t="shared" si="4"/>
        <v>5499893.030936888</v>
      </c>
      <c r="K24" s="124">
        <v>37607</v>
      </c>
      <c r="L24" s="125">
        <v>37710</v>
      </c>
      <c r="M24" s="124">
        <v>38321</v>
      </c>
      <c r="N24" s="104" t="s">
        <v>195</v>
      </c>
      <c r="O24" s="118">
        <f t="shared" si="0"/>
        <v>714</v>
      </c>
      <c r="P24" s="118"/>
      <c r="Q24" s="118"/>
      <c r="R24" s="126"/>
      <c r="S24" s="127"/>
      <c r="T24" s="126"/>
      <c r="U24" s="126"/>
      <c r="V24" s="128"/>
      <c r="W24" s="128"/>
      <c r="X24" s="128"/>
      <c r="Y24" s="12">
        <v>36647</v>
      </c>
      <c r="Z24" s="14">
        <v>0.31</v>
      </c>
      <c r="AA24" s="10">
        <f t="shared" si="1"/>
        <v>1.0031</v>
      </c>
      <c r="AB24">
        <f t="shared" si="2"/>
        <v>2.582076761189157</v>
      </c>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row>
    <row r="25" spans="1:69" ht="20.25" customHeight="1">
      <c r="A25" s="118">
        <f t="shared" si="3"/>
        <v>10</v>
      </c>
      <c r="B25" s="118" t="s">
        <v>335</v>
      </c>
      <c r="C25" s="118">
        <v>10</v>
      </c>
      <c r="D25" s="120">
        <v>2002</v>
      </c>
      <c r="G25" s="103">
        <v>12298700</v>
      </c>
      <c r="H25" s="122">
        <v>12298700</v>
      </c>
      <c r="I25" s="123">
        <f>AB55</f>
        <v>1.7965874076166624</v>
      </c>
      <c r="J25" s="19">
        <f t="shared" si="4"/>
        <v>22095689.550055046</v>
      </c>
      <c r="K25" s="124">
        <v>37607</v>
      </c>
      <c r="L25" s="125">
        <v>37741</v>
      </c>
      <c r="M25" s="124">
        <v>38321</v>
      </c>
      <c r="N25" s="104" t="s">
        <v>195</v>
      </c>
      <c r="O25" s="118">
        <f t="shared" si="0"/>
        <v>714</v>
      </c>
      <c r="P25" s="118"/>
      <c r="Q25" s="118"/>
      <c r="R25" s="126"/>
      <c r="S25" s="127"/>
      <c r="T25" s="126"/>
      <c r="U25" s="126"/>
      <c r="V25" s="128"/>
      <c r="W25" s="128"/>
      <c r="X25" s="128"/>
      <c r="Y25" s="130">
        <v>36678</v>
      </c>
      <c r="Z25" s="14">
        <v>0.85</v>
      </c>
      <c r="AA25" s="10">
        <f t="shared" si="1"/>
        <v>1.0085</v>
      </c>
      <c r="AB25">
        <f t="shared" si="2"/>
        <v>2.5740970603022197</v>
      </c>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row>
    <row r="26" spans="1:69" ht="20.25" customHeight="1">
      <c r="A26" s="118">
        <f t="shared" si="3"/>
        <v>11</v>
      </c>
      <c r="B26" s="118" t="s">
        <v>335</v>
      </c>
      <c r="C26" s="118">
        <v>11</v>
      </c>
      <c r="D26" s="120">
        <v>2002</v>
      </c>
      <c r="G26" s="103">
        <v>3284400</v>
      </c>
      <c r="H26" s="122">
        <v>3284400</v>
      </c>
      <c r="I26" s="123">
        <f>AB55</f>
        <v>1.7965874076166624</v>
      </c>
      <c r="J26" s="19">
        <f t="shared" si="4"/>
        <v>5900711.681576166</v>
      </c>
      <c r="K26" s="124">
        <v>37607</v>
      </c>
      <c r="L26" s="125">
        <v>37741</v>
      </c>
      <c r="M26" s="124">
        <v>38321</v>
      </c>
      <c r="N26" s="104" t="s">
        <v>195</v>
      </c>
      <c r="O26" s="118">
        <f t="shared" si="0"/>
        <v>714</v>
      </c>
      <c r="P26" s="118"/>
      <c r="Q26" s="118"/>
      <c r="R26" s="126"/>
      <c r="S26" s="127"/>
      <c r="T26" s="126"/>
      <c r="U26" s="126"/>
      <c r="V26" s="128"/>
      <c r="W26" s="128"/>
      <c r="X26" s="128"/>
      <c r="Y26" s="12">
        <v>36708</v>
      </c>
      <c r="Z26" s="14">
        <v>1.57</v>
      </c>
      <c r="AA26" s="10">
        <f t="shared" si="1"/>
        <v>1.0157</v>
      </c>
      <c r="AB26">
        <f t="shared" si="2"/>
        <v>2.552401646308597</v>
      </c>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row>
    <row r="27" spans="1:69" ht="20.25" customHeight="1">
      <c r="A27" s="152">
        <v>1</v>
      </c>
      <c r="B27" s="118" t="s">
        <v>335</v>
      </c>
      <c r="C27" s="118">
        <v>1</v>
      </c>
      <c r="D27" s="120">
        <v>2003</v>
      </c>
      <c r="H27" s="122"/>
      <c r="I27" s="123">
        <f>AB62</f>
        <v>1.635273375848486</v>
      </c>
      <c r="J27" s="19">
        <f t="shared" si="4"/>
        <v>0</v>
      </c>
      <c r="K27" s="124">
        <v>37806</v>
      </c>
      <c r="L27" s="125">
        <v>37894</v>
      </c>
      <c r="M27" s="124">
        <v>38076</v>
      </c>
      <c r="N27" s="104" t="s">
        <v>195</v>
      </c>
      <c r="O27" s="118">
        <f t="shared" si="0"/>
        <v>270</v>
      </c>
      <c r="P27" s="118"/>
      <c r="Q27" s="118"/>
      <c r="R27" s="126"/>
      <c r="S27" s="127"/>
      <c r="T27" s="126"/>
      <c r="U27" s="126"/>
      <c r="V27" s="128"/>
      <c r="W27" s="128"/>
      <c r="X27" s="128"/>
      <c r="Y27" s="12">
        <v>36739</v>
      </c>
      <c r="Z27" s="14">
        <v>2.39</v>
      </c>
      <c r="AA27" s="10">
        <f t="shared" si="1"/>
        <v>1.0239</v>
      </c>
      <c r="AB27">
        <f t="shared" si="2"/>
        <v>2.512948357102094</v>
      </c>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row>
    <row r="28" spans="1:69" ht="20.25" customHeight="1">
      <c r="A28" s="152">
        <f t="shared" si="3"/>
        <v>2</v>
      </c>
      <c r="B28" s="118" t="s">
        <v>335</v>
      </c>
      <c r="C28" s="118">
        <v>2</v>
      </c>
      <c r="D28" s="120">
        <v>2003</v>
      </c>
      <c r="H28" s="122"/>
      <c r="I28" s="123">
        <f>AB62</f>
        <v>1.635273375848486</v>
      </c>
      <c r="J28" s="19">
        <f t="shared" si="4"/>
        <v>0</v>
      </c>
      <c r="K28" s="124">
        <v>37816</v>
      </c>
      <c r="L28" s="125">
        <v>37894</v>
      </c>
      <c r="M28" s="124">
        <v>38137</v>
      </c>
      <c r="N28" s="104" t="s">
        <v>195</v>
      </c>
      <c r="O28" s="118">
        <f t="shared" si="0"/>
        <v>321</v>
      </c>
      <c r="P28" s="118"/>
      <c r="Q28" s="118"/>
      <c r="R28" s="126"/>
      <c r="S28" s="127"/>
      <c r="T28" s="126"/>
      <c r="U28" s="126"/>
      <c r="V28" s="128"/>
      <c r="W28" s="128"/>
      <c r="X28" s="128"/>
      <c r="Y28" s="12">
        <v>36770</v>
      </c>
      <c r="Z28" s="14">
        <v>1.16</v>
      </c>
      <c r="AA28" s="10">
        <f t="shared" si="1"/>
        <v>1.0116</v>
      </c>
      <c r="AB28">
        <f t="shared" si="2"/>
        <v>2.4542908068191167</v>
      </c>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row>
    <row r="29" spans="1:69" ht="20.25" customHeight="1">
      <c r="A29" s="152">
        <f t="shared" si="3"/>
        <v>3</v>
      </c>
      <c r="B29" s="118" t="s">
        <v>335</v>
      </c>
      <c r="C29" s="118">
        <v>3</v>
      </c>
      <c r="D29" s="131">
        <v>2003</v>
      </c>
      <c r="G29" s="103">
        <v>2500000</v>
      </c>
      <c r="H29" s="122">
        <v>2500000</v>
      </c>
      <c r="I29" s="123">
        <f>AB64</f>
        <v>1.6359538672190945</v>
      </c>
      <c r="J29" s="19">
        <f t="shared" si="4"/>
        <v>4089884.6680477364</v>
      </c>
      <c r="K29" s="124">
        <v>37894</v>
      </c>
      <c r="L29" s="125"/>
      <c r="M29" s="124">
        <v>38485</v>
      </c>
      <c r="N29" s="104" t="s">
        <v>299</v>
      </c>
      <c r="O29" s="118">
        <f t="shared" si="0"/>
        <v>591</v>
      </c>
      <c r="P29" s="118"/>
      <c r="Q29" s="118"/>
      <c r="R29" s="126"/>
      <c r="S29" s="127"/>
      <c r="T29" s="126"/>
      <c r="U29" s="126"/>
      <c r="V29" s="128"/>
      <c r="W29" s="128"/>
      <c r="X29" s="128"/>
      <c r="Y29" s="130">
        <v>36800</v>
      </c>
      <c r="Z29" s="14">
        <v>0.38</v>
      </c>
      <c r="AA29" s="10">
        <f t="shared" si="1"/>
        <v>1.0038</v>
      </c>
      <c r="AB29">
        <f t="shared" si="2"/>
        <v>2.426147495867059</v>
      </c>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row>
    <row r="30" spans="1:69" ht="20.25" customHeight="1">
      <c r="A30" s="152">
        <f t="shared" si="3"/>
        <v>4</v>
      </c>
      <c r="B30" s="118" t="s">
        <v>335</v>
      </c>
      <c r="C30" s="118">
        <v>4</v>
      </c>
      <c r="D30" s="120">
        <v>2003</v>
      </c>
      <c r="G30" s="103">
        <v>879525</v>
      </c>
      <c r="H30" s="122">
        <v>879525</v>
      </c>
      <c r="I30" s="123">
        <f>AB65</f>
        <v>1.6168747452254344</v>
      </c>
      <c r="J30" s="19">
        <f t="shared" si="4"/>
        <v>1422081.7602944002</v>
      </c>
      <c r="K30" s="124">
        <v>37907</v>
      </c>
      <c r="L30" s="125"/>
      <c r="M30" s="124">
        <v>37931</v>
      </c>
      <c r="N30" s="104" t="s">
        <v>195</v>
      </c>
      <c r="O30" s="118">
        <f t="shared" si="0"/>
        <v>24</v>
      </c>
      <c r="P30" s="118"/>
      <c r="Q30" s="118"/>
      <c r="R30" s="126"/>
      <c r="S30" s="127"/>
      <c r="T30" s="126"/>
      <c r="U30" s="126"/>
      <c r="V30" s="128"/>
      <c r="W30" s="128"/>
      <c r="X30" s="128"/>
      <c r="Y30" s="130">
        <v>36831</v>
      </c>
      <c r="Z30" s="14">
        <v>0.29</v>
      </c>
      <c r="AA30" s="10">
        <f t="shared" si="1"/>
        <v>1.0029</v>
      </c>
      <c r="AB30">
        <f t="shared" si="2"/>
        <v>2.4169630363290087</v>
      </c>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row>
    <row r="31" spans="1:69" ht="20.25" customHeight="1">
      <c r="A31" s="152">
        <f t="shared" si="3"/>
        <v>5</v>
      </c>
      <c r="B31" s="118" t="s">
        <v>335</v>
      </c>
      <c r="C31" s="118">
        <v>5</v>
      </c>
      <c r="D31" s="120">
        <v>2003</v>
      </c>
      <c r="G31" s="103">
        <v>1220623.3</v>
      </c>
      <c r="H31" s="122">
        <v>1220623.3</v>
      </c>
      <c r="I31" s="123">
        <f>AB67</f>
        <v>1.6028996720863886</v>
      </c>
      <c r="J31" s="19">
        <f t="shared" si="4"/>
        <v>1956536.6873110055</v>
      </c>
      <c r="K31" s="124">
        <v>37965</v>
      </c>
      <c r="L31" s="125" t="s">
        <v>343</v>
      </c>
      <c r="M31" s="124">
        <v>38403</v>
      </c>
      <c r="N31" s="104" t="s">
        <v>195</v>
      </c>
      <c r="O31" s="118">
        <f t="shared" si="0"/>
        <v>438</v>
      </c>
      <c r="P31" s="118"/>
      <c r="Q31" s="118"/>
      <c r="R31" s="126"/>
      <c r="S31" s="127"/>
      <c r="T31" s="126"/>
      <c r="U31" s="126"/>
      <c r="V31" s="128"/>
      <c r="W31" s="128"/>
      <c r="X31" s="128"/>
      <c r="Y31" s="130">
        <v>36861</v>
      </c>
      <c r="Z31" s="14">
        <v>0.63</v>
      </c>
      <c r="AA31" s="10">
        <f t="shared" si="1"/>
        <v>1.0063</v>
      </c>
      <c r="AB31">
        <f t="shared" si="2"/>
        <v>2.4099741114059317</v>
      </c>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1:69" ht="20.25" customHeight="1">
      <c r="A32" s="118">
        <v>1</v>
      </c>
      <c r="B32" s="118" t="s">
        <v>335</v>
      </c>
      <c r="C32" s="118">
        <v>1</v>
      </c>
      <c r="D32" s="120">
        <v>2004</v>
      </c>
      <c r="E32" s="129">
        <v>16000000</v>
      </c>
      <c r="F32" s="118">
        <v>1.71</v>
      </c>
      <c r="G32" s="103">
        <f>E32*F32</f>
        <v>27360000</v>
      </c>
      <c r="H32" s="122"/>
      <c r="I32" s="123">
        <f>AB68</f>
        <v>1.593181266361583</v>
      </c>
      <c r="J32" s="19">
        <f t="shared" si="4"/>
        <v>43589439.44765291</v>
      </c>
      <c r="K32" s="124">
        <v>38007</v>
      </c>
      <c r="L32" s="125">
        <v>38198</v>
      </c>
      <c r="M32" s="124">
        <v>39202</v>
      </c>
      <c r="N32" s="104" t="s">
        <v>195</v>
      </c>
      <c r="O32" s="118">
        <f t="shared" si="0"/>
        <v>1195</v>
      </c>
      <c r="P32" s="118"/>
      <c r="Q32" s="118"/>
      <c r="R32" s="126"/>
      <c r="S32" s="127"/>
      <c r="T32" s="126"/>
      <c r="U32" s="126"/>
      <c r="V32" s="128"/>
      <c r="W32" s="128"/>
      <c r="X32" s="128"/>
      <c r="Y32" s="12">
        <v>36892</v>
      </c>
      <c r="Z32" s="13">
        <v>0.62</v>
      </c>
      <c r="AA32" s="10">
        <f t="shared" si="1"/>
        <v>1.0062</v>
      </c>
      <c r="AB32">
        <f t="shared" si="2"/>
        <v>2.3948863275424146</v>
      </c>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1:69" ht="20.25" customHeight="1">
      <c r="A33" s="118">
        <f t="shared" si="3"/>
        <v>2</v>
      </c>
      <c r="B33" s="118" t="s">
        <v>335</v>
      </c>
      <c r="C33" s="118">
        <v>2</v>
      </c>
      <c r="D33" s="120">
        <v>2004</v>
      </c>
      <c r="G33" s="103">
        <v>15601433</v>
      </c>
      <c r="H33" s="122">
        <v>15601433</v>
      </c>
      <c r="I33" s="123">
        <f>AB70</f>
        <v>1.5684611887350628</v>
      </c>
      <c r="J33" s="19">
        <f t="shared" si="4"/>
        <v>24470242.14915044</v>
      </c>
      <c r="K33" s="124">
        <v>38056</v>
      </c>
      <c r="L33" s="125">
        <v>38137</v>
      </c>
      <c r="M33" s="124">
        <v>38403</v>
      </c>
      <c r="N33" s="104" t="s">
        <v>195</v>
      </c>
      <c r="O33" s="118">
        <f t="shared" si="0"/>
        <v>347</v>
      </c>
      <c r="P33" s="118"/>
      <c r="Q33" s="118"/>
      <c r="R33" s="126"/>
      <c r="S33" s="127"/>
      <c r="T33" s="126"/>
      <c r="U33" s="126"/>
      <c r="V33" s="128"/>
      <c r="W33" s="128"/>
      <c r="X33" s="128"/>
      <c r="Y33" s="12">
        <v>36923</v>
      </c>
      <c r="Z33" s="13">
        <v>0.23</v>
      </c>
      <c r="AA33" s="10">
        <f t="shared" si="1"/>
        <v>1.0023</v>
      </c>
      <c r="AB33">
        <f t="shared" si="2"/>
        <v>2.380129524490573</v>
      </c>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1:69" ht="20.25" customHeight="1">
      <c r="A34" s="118">
        <f t="shared" si="3"/>
        <v>3</v>
      </c>
      <c r="B34" s="118" t="s">
        <v>335</v>
      </c>
      <c r="C34" s="118">
        <v>3</v>
      </c>
      <c r="D34" s="120">
        <v>2004</v>
      </c>
      <c r="G34" s="103">
        <v>550000</v>
      </c>
      <c r="H34" s="122">
        <v>550000</v>
      </c>
      <c r="I34" s="123">
        <f>AB70</f>
        <v>1.5684611887350628</v>
      </c>
      <c r="J34" s="19">
        <f t="shared" si="4"/>
        <v>862653.6538042845</v>
      </c>
      <c r="K34" s="124">
        <v>38058</v>
      </c>
      <c r="L34" s="125">
        <v>38137</v>
      </c>
      <c r="M34" s="124">
        <v>38403</v>
      </c>
      <c r="N34" s="104" t="s">
        <v>195</v>
      </c>
      <c r="O34" s="118">
        <f t="shared" si="0"/>
        <v>345</v>
      </c>
      <c r="P34" s="118"/>
      <c r="Q34" s="118"/>
      <c r="R34" s="126"/>
      <c r="S34" s="127"/>
      <c r="T34" s="126"/>
      <c r="U34" s="126"/>
      <c r="V34" s="128"/>
      <c r="W34" s="128"/>
      <c r="X34" s="128"/>
      <c r="Y34" s="12">
        <v>36951</v>
      </c>
      <c r="Z34" s="13">
        <v>0.56</v>
      </c>
      <c r="AA34" s="10">
        <f t="shared" si="1"/>
        <v>1.0056</v>
      </c>
      <c r="AB34">
        <f t="shared" si="2"/>
        <v>2.374667788576846</v>
      </c>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row>
    <row r="35" spans="1:69" ht="20.25" customHeight="1">
      <c r="A35" s="118">
        <f t="shared" si="3"/>
        <v>4</v>
      </c>
      <c r="B35" s="118" t="s">
        <v>335</v>
      </c>
      <c r="C35" s="118">
        <v>4</v>
      </c>
      <c r="D35" s="120">
        <v>2004</v>
      </c>
      <c r="E35" s="129">
        <v>1053596.41</v>
      </c>
      <c r="F35" s="118">
        <v>1.71</v>
      </c>
      <c r="G35" s="103">
        <f>E35*F35</f>
        <v>1801649.8610999999</v>
      </c>
      <c r="H35" s="122"/>
      <c r="I35" s="123">
        <f>AB71</f>
        <v>1.550935616271198</v>
      </c>
      <c r="J35" s="19">
        <f t="shared" si="4"/>
        <v>2794242.9376300466</v>
      </c>
      <c r="K35" s="124">
        <v>38078</v>
      </c>
      <c r="L35" s="125">
        <v>38137</v>
      </c>
      <c r="M35" s="124">
        <v>38563</v>
      </c>
      <c r="N35" s="104" t="s">
        <v>195</v>
      </c>
      <c r="O35" s="118">
        <f t="shared" si="0"/>
        <v>485</v>
      </c>
      <c r="P35" s="118"/>
      <c r="Q35" s="118"/>
      <c r="R35" s="126"/>
      <c r="S35" s="127"/>
      <c r="T35" s="126"/>
      <c r="U35" s="126"/>
      <c r="V35" s="128"/>
      <c r="W35" s="128"/>
      <c r="X35" s="128"/>
      <c r="Y35" s="12">
        <v>36982</v>
      </c>
      <c r="Z35" s="13">
        <v>1</v>
      </c>
      <c r="AA35" s="10">
        <f t="shared" si="1"/>
        <v>1.01</v>
      </c>
      <c r="AB35">
        <f t="shared" si="2"/>
        <v>2.361443703835368</v>
      </c>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row>
    <row r="36" spans="1:69" ht="20.25" customHeight="1">
      <c r="A36" s="118">
        <f t="shared" si="3"/>
        <v>5</v>
      </c>
      <c r="B36" s="118" t="s">
        <v>335</v>
      </c>
      <c r="C36" s="118">
        <v>5</v>
      </c>
      <c r="D36" s="131">
        <v>2004</v>
      </c>
      <c r="G36" s="103">
        <v>5936933.56</v>
      </c>
      <c r="H36" s="122">
        <v>5936933.56</v>
      </c>
      <c r="I36" s="123">
        <f>AB72</f>
        <v>1.5323936530690623</v>
      </c>
      <c r="J36" s="19">
        <f t="shared" si="4"/>
        <v>9097719.306036713</v>
      </c>
      <c r="K36" s="124">
        <v>38113</v>
      </c>
      <c r="L36" s="125"/>
      <c r="M36" s="124">
        <v>38203</v>
      </c>
      <c r="N36" s="104" t="s">
        <v>299</v>
      </c>
      <c r="O36" s="118">
        <f t="shared" si="0"/>
        <v>90</v>
      </c>
      <c r="P36" s="118"/>
      <c r="Q36" s="118"/>
      <c r="R36" s="126"/>
      <c r="S36" s="127"/>
      <c r="T36" s="126"/>
      <c r="U36" s="126"/>
      <c r="V36" s="128"/>
      <c r="W36" s="128"/>
      <c r="X36" s="128"/>
      <c r="Y36" s="130">
        <v>37012</v>
      </c>
      <c r="Z36" s="13">
        <v>0.86</v>
      </c>
      <c r="AA36" s="10">
        <f t="shared" si="1"/>
        <v>1.0086</v>
      </c>
      <c r="AB36">
        <f t="shared" si="2"/>
        <v>2.338063073104325</v>
      </c>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row>
    <row r="37" spans="1:69" ht="20.25" customHeight="1">
      <c r="A37" s="118">
        <f t="shared" si="3"/>
        <v>6</v>
      </c>
      <c r="B37" s="118" t="s">
        <v>335</v>
      </c>
      <c r="C37" s="118">
        <v>6</v>
      </c>
      <c r="D37" s="131">
        <v>2004</v>
      </c>
      <c r="H37" s="122"/>
      <c r="I37" s="123">
        <f>AB72</f>
        <v>1.5323936530690623</v>
      </c>
      <c r="J37" s="19">
        <f t="shared" si="4"/>
        <v>0</v>
      </c>
      <c r="K37" s="124">
        <v>38124</v>
      </c>
      <c r="L37" s="125"/>
      <c r="M37" s="124">
        <v>38481</v>
      </c>
      <c r="N37" s="104" t="s">
        <v>299</v>
      </c>
      <c r="O37" s="118">
        <f t="shared" si="0"/>
        <v>357</v>
      </c>
      <c r="P37" s="118"/>
      <c r="Q37" s="118"/>
      <c r="R37" s="126"/>
      <c r="S37" s="127"/>
      <c r="T37" s="126"/>
      <c r="U37" s="126"/>
      <c r="V37" s="128"/>
      <c r="W37" s="128"/>
      <c r="X37" s="128"/>
      <c r="Y37" s="12">
        <v>37043</v>
      </c>
      <c r="Z37" s="13">
        <v>0.98</v>
      </c>
      <c r="AA37" s="10">
        <v>1.0098</v>
      </c>
      <c r="AB37">
        <f t="shared" si="2"/>
        <v>2.3181271793618135</v>
      </c>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row>
    <row r="38" spans="1:69" ht="20.25" customHeight="1">
      <c r="A38" s="118">
        <f t="shared" si="3"/>
        <v>7</v>
      </c>
      <c r="B38" s="118" t="s">
        <v>335</v>
      </c>
      <c r="C38" s="118">
        <v>7</v>
      </c>
      <c r="D38" s="120">
        <v>2004</v>
      </c>
      <c r="H38" s="122"/>
      <c r="I38" s="123">
        <f>AB75</f>
        <v>1.472697084131704</v>
      </c>
      <c r="J38" s="19">
        <f t="shared" si="4"/>
        <v>0</v>
      </c>
      <c r="K38" s="124">
        <v>38203</v>
      </c>
      <c r="L38" s="125">
        <v>38290</v>
      </c>
      <c r="M38" s="124">
        <v>38290</v>
      </c>
      <c r="N38" s="104" t="s">
        <v>195</v>
      </c>
      <c r="O38" s="118">
        <f t="shared" si="0"/>
        <v>87</v>
      </c>
      <c r="P38" s="118"/>
      <c r="Q38" s="118"/>
      <c r="R38" s="126"/>
      <c r="S38" s="127"/>
      <c r="T38" s="126"/>
      <c r="U38" s="126"/>
      <c r="V38" s="128"/>
      <c r="W38" s="128"/>
      <c r="X38" s="128"/>
      <c r="Y38" s="12">
        <v>37073</v>
      </c>
      <c r="Z38" s="13">
        <v>1.48</v>
      </c>
      <c r="AA38" s="10">
        <f aca="true" t="shared" si="5" ref="AA38:AA45">Z38/100+1</f>
        <v>1.0148</v>
      </c>
      <c r="AB38">
        <f t="shared" si="2"/>
        <v>2.2956300053097776</v>
      </c>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row>
    <row r="39" spans="1:69" ht="20.25" customHeight="1">
      <c r="A39" s="118">
        <f t="shared" si="3"/>
        <v>8</v>
      </c>
      <c r="B39" s="118" t="s">
        <v>335</v>
      </c>
      <c r="C39" s="118">
        <v>8</v>
      </c>
      <c r="D39" s="120">
        <v>2004</v>
      </c>
      <c r="G39" s="103">
        <v>1000000</v>
      </c>
      <c r="H39" s="122">
        <v>1000000</v>
      </c>
      <c r="I39" s="123">
        <f>AB76</f>
        <v>1.4549467339771824</v>
      </c>
      <c r="J39" s="19">
        <f t="shared" si="4"/>
        <v>1454946.7339771825</v>
      </c>
      <c r="K39" s="124">
        <v>38239</v>
      </c>
      <c r="L39" s="125">
        <v>38321</v>
      </c>
      <c r="M39" s="124">
        <v>39051</v>
      </c>
      <c r="N39" s="104" t="s">
        <v>195</v>
      </c>
      <c r="O39" s="118">
        <f t="shared" si="0"/>
        <v>812</v>
      </c>
      <c r="P39" s="118"/>
      <c r="Q39" s="118"/>
      <c r="R39" s="126"/>
      <c r="S39" s="127"/>
      <c r="T39" s="126"/>
      <c r="U39" s="126"/>
      <c r="V39" s="128"/>
      <c r="W39" s="128"/>
      <c r="X39" s="128"/>
      <c r="Y39" s="12">
        <v>37104</v>
      </c>
      <c r="Z39" s="13">
        <v>1.38</v>
      </c>
      <c r="AA39" s="10">
        <f t="shared" si="5"/>
        <v>1.0138</v>
      </c>
      <c r="AB39">
        <f t="shared" si="2"/>
        <v>2.2621501826071913</v>
      </c>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row>
    <row r="40" spans="1:69" ht="20.25" customHeight="1">
      <c r="A40" s="118">
        <f t="shared" si="3"/>
        <v>9</v>
      </c>
      <c r="B40" s="118" t="s">
        <v>335</v>
      </c>
      <c r="C40" s="118">
        <v>9</v>
      </c>
      <c r="D40" s="120">
        <v>2004</v>
      </c>
      <c r="E40" s="132">
        <v>323916.88</v>
      </c>
      <c r="F40" s="133">
        <v>2.31</v>
      </c>
      <c r="G40" s="103">
        <f>E40*F40</f>
        <v>748247.9928</v>
      </c>
      <c r="H40" s="122">
        <f>E40*F40</f>
        <v>748247.9928</v>
      </c>
      <c r="I40" s="123">
        <f>AB76</f>
        <v>1.4549467339771824</v>
      </c>
      <c r="J40" s="19">
        <f t="shared" si="4"/>
        <v>1088660.9733293424</v>
      </c>
      <c r="K40" s="124">
        <v>38240</v>
      </c>
      <c r="L40" s="125">
        <v>38321</v>
      </c>
      <c r="M40" s="124">
        <v>38837</v>
      </c>
      <c r="N40" s="104" t="s">
        <v>195</v>
      </c>
      <c r="O40" s="118">
        <f t="shared" si="0"/>
        <v>597</v>
      </c>
      <c r="P40" s="118"/>
      <c r="Q40" s="118"/>
      <c r="R40" s="126"/>
      <c r="S40" s="127"/>
      <c r="T40" s="126"/>
      <c r="U40" s="126"/>
      <c r="V40" s="128"/>
      <c r="W40" s="128"/>
      <c r="X40" s="128"/>
      <c r="Y40" s="12">
        <v>37135</v>
      </c>
      <c r="Z40" s="13">
        <v>0.31</v>
      </c>
      <c r="AA40" s="10">
        <f t="shared" si="5"/>
        <v>1.0031</v>
      </c>
      <c r="AB40">
        <f t="shared" si="2"/>
        <v>2.231357449799952</v>
      </c>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row>
    <row r="41" spans="1:69" ht="20.25" customHeight="1">
      <c r="A41" s="118">
        <f t="shared" si="3"/>
        <v>10</v>
      </c>
      <c r="B41" s="118" t="s">
        <v>335</v>
      </c>
      <c r="C41" s="118">
        <v>10</v>
      </c>
      <c r="D41" s="120">
        <v>2004</v>
      </c>
      <c r="G41" s="103">
        <v>7310702.67</v>
      </c>
      <c r="H41" s="122">
        <v>7310702.67</v>
      </c>
      <c r="I41" s="123">
        <f>AB76</f>
        <v>1.4549467339771824</v>
      </c>
      <c r="J41" s="19">
        <f t="shared" si="4"/>
        <v>10636682.972794767</v>
      </c>
      <c r="K41" s="124">
        <v>38250</v>
      </c>
      <c r="L41" s="125">
        <v>38321</v>
      </c>
      <c r="M41" s="124">
        <v>38472</v>
      </c>
      <c r="N41" s="104" t="s">
        <v>195</v>
      </c>
      <c r="O41" s="118">
        <f t="shared" si="0"/>
        <v>222</v>
      </c>
      <c r="P41" s="118"/>
      <c r="Q41" s="118"/>
      <c r="R41" s="126"/>
      <c r="S41" s="127"/>
      <c r="T41" s="126"/>
      <c r="U41" s="126"/>
      <c r="V41" s="128"/>
      <c r="W41" s="128"/>
      <c r="X41" s="128"/>
      <c r="Y41" s="12">
        <v>37165</v>
      </c>
      <c r="Z41" s="13">
        <v>1.18</v>
      </c>
      <c r="AA41" s="10">
        <f t="shared" si="5"/>
        <v>1.0118</v>
      </c>
      <c r="AB41">
        <f t="shared" si="2"/>
        <v>2.2244616187817283</v>
      </c>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row>
    <row r="42" spans="1:69" ht="20.25" customHeight="1">
      <c r="A42" s="118">
        <f t="shared" si="3"/>
        <v>11</v>
      </c>
      <c r="B42" s="118" t="s">
        <v>335</v>
      </c>
      <c r="C42" s="118">
        <v>11</v>
      </c>
      <c r="D42" s="120">
        <v>2004</v>
      </c>
      <c r="E42" s="129">
        <v>4962800</v>
      </c>
      <c r="F42" s="118">
        <v>1.71</v>
      </c>
      <c r="G42" s="103">
        <f>E42*F42</f>
        <v>8486388</v>
      </c>
      <c r="H42" s="122">
        <f>G42</f>
        <v>8486388</v>
      </c>
      <c r="I42" s="123">
        <f>AB77</f>
        <v>1.4449763968389935</v>
      </c>
      <c r="J42" s="19">
        <f t="shared" si="4"/>
        <v>12262630.354417672</v>
      </c>
      <c r="K42" s="124">
        <v>38280</v>
      </c>
      <c r="L42" s="125">
        <v>38351</v>
      </c>
      <c r="M42" s="124">
        <v>38706</v>
      </c>
      <c r="N42" s="104" t="s">
        <v>195</v>
      </c>
      <c r="O42" s="118">
        <f t="shared" si="0"/>
        <v>426</v>
      </c>
      <c r="P42" s="118"/>
      <c r="Q42" s="118"/>
      <c r="R42" s="126"/>
      <c r="S42" s="127"/>
      <c r="T42" s="126"/>
      <c r="U42" s="126"/>
      <c r="V42" s="128"/>
      <c r="W42" s="128"/>
      <c r="X42" s="128"/>
      <c r="Y42" s="12">
        <v>37196</v>
      </c>
      <c r="Z42" s="13">
        <v>1.1</v>
      </c>
      <c r="AA42" s="10">
        <f t="shared" si="5"/>
        <v>1.011</v>
      </c>
      <c r="AB42">
        <f t="shared" si="2"/>
        <v>2.19851909347868</v>
      </c>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row>
    <row r="43" spans="1:69" ht="20.25" customHeight="1">
      <c r="A43" s="188">
        <v>1</v>
      </c>
      <c r="B43" s="118" t="s">
        <v>335</v>
      </c>
      <c r="C43" s="118">
        <v>1</v>
      </c>
      <c r="D43" s="120">
        <v>2005</v>
      </c>
      <c r="H43" s="122"/>
      <c r="I43" s="123">
        <f>AB80</f>
        <v>1.4171690505935017</v>
      </c>
      <c r="J43" s="19">
        <f t="shared" si="4"/>
        <v>0</v>
      </c>
      <c r="K43" s="124">
        <v>38380</v>
      </c>
      <c r="L43" s="125">
        <v>38441</v>
      </c>
      <c r="M43" s="124">
        <v>39071</v>
      </c>
      <c r="N43" s="104" t="s">
        <v>195</v>
      </c>
      <c r="O43" s="118">
        <f t="shared" si="0"/>
        <v>691</v>
      </c>
      <c r="P43" s="118"/>
      <c r="Q43" s="118"/>
      <c r="R43" s="126"/>
      <c r="S43" s="127"/>
      <c r="T43" s="126"/>
      <c r="U43" s="126"/>
      <c r="V43" s="128"/>
      <c r="W43" s="128"/>
      <c r="X43" s="128"/>
      <c r="Y43" s="130">
        <v>37226</v>
      </c>
      <c r="Z43" s="13">
        <v>0.22</v>
      </c>
      <c r="AA43" s="10">
        <f t="shared" si="5"/>
        <v>1.0022</v>
      </c>
      <c r="AB43">
        <f t="shared" si="2"/>
        <v>2.174598509870109</v>
      </c>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row>
    <row r="44" spans="1:69" ht="20.25" customHeight="1">
      <c r="A44" s="188">
        <f t="shared" si="3"/>
        <v>2</v>
      </c>
      <c r="B44" s="118" t="s">
        <v>335</v>
      </c>
      <c r="C44" s="118">
        <v>2</v>
      </c>
      <c r="D44" s="120">
        <v>2005</v>
      </c>
      <c r="G44" s="103">
        <v>2750000</v>
      </c>
      <c r="H44" s="122">
        <f>G44</f>
        <v>2750000</v>
      </c>
      <c r="I44" s="123">
        <f>AB81</f>
        <v>1.4116635626989757</v>
      </c>
      <c r="J44" s="19">
        <f t="shared" si="4"/>
        <v>3882074.797422183</v>
      </c>
      <c r="K44" s="124">
        <v>38393</v>
      </c>
      <c r="L44" s="125">
        <v>38441</v>
      </c>
      <c r="M44" s="124">
        <v>38716</v>
      </c>
      <c r="N44" s="104" t="s">
        <v>195</v>
      </c>
      <c r="O44" s="118">
        <f t="shared" si="0"/>
        <v>323</v>
      </c>
      <c r="P44" s="118"/>
      <c r="Q44" s="118"/>
      <c r="R44" s="126"/>
      <c r="S44" s="127"/>
      <c r="T44" s="126"/>
      <c r="U44" s="126"/>
      <c r="V44" s="128"/>
      <c r="W44" s="128"/>
      <c r="X44" s="128"/>
      <c r="Y44" s="12">
        <v>37257</v>
      </c>
      <c r="Z44" s="13">
        <v>0.36</v>
      </c>
      <c r="AA44" s="10">
        <f t="shared" si="5"/>
        <v>1.0036</v>
      </c>
      <c r="AB44">
        <f t="shared" si="2"/>
        <v>2.169824895100887</v>
      </c>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row>
    <row r="45" spans="1:69" ht="20.25" customHeight="1">
      <c r="A45" s="188">
        <f t="shared" si="3"/>
        <v>3</v>
      </c>
      <c r="B45" s="118" t="s">
        <v>335</v>
      </c>
      <c r="C45" s="118">
        <v>3</v>
      </c>
      <c r="D45" s="120">
        <v>2005</v>
      </c>
      <c r="G45" s="103">
        <v>3401974.02</v>
      </c>
      <c r="H45" s="122">
        <f>G45</f>
        <v>3401974.02</v>
      </c>
      <c r="I45" s="123">
        <f>AB82</f>
        <v>1.4074412389820299</v>
      </c>
      <c r="J45" s="19">
        <f t="shared" si="4"/>
        <v>4788078.529693477</v>
      </c>
      <c r="K45" s="124">
        <v>38427</v>
      </c>
      <c r="L45" s="125">
        <v>38533</v>
      </c>
      <c r="M45" s="124">
        <v>38563</v>
      </c>
      <c r="N45" s="104" t="s">
        <v>195</v>
      </c>
      <c r="O45" s="118">
        <f t="shared" si="0"/>
        <v>136</v>
      </c>
      <c r="P45" s="118"/>
      <c r="Q45" s="118"/>
      <c r="R45" s="126"/>
      <c r="S45" s="127"/>
      <c r="T45" s="126"/>
      <c r="U45" s="126"/>
      <c r="V45" s="128"/>
      <c r="W45" s="128"/>
      <c r="X45" s="128"/>
      <c r="Y45" s="12">
        <v>37288</v>
      </c>
      <c r="Z45" s="13">
        <v>0.06</v>
      </c>
      <c r="AA45" s="10">
        <f t="shared" si="5"/>
        <v>1.0006</v>
      </c>
      <c r="AB45">
        <f t="shared" si="2"/>
        <v>2.1620415455369537</v>
      </c>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row>
    <row r="46" spans="1:69" ht="20.25" customHeight="1">
      <c r="A46" s="188">
        <f t="shared" si="3"/>
        <v>4</v>
      </c>
      <c r="B46" s="118" t="s">
        <v>335</v>
      </c>
      <c r="C46" s="118">
        <v>4</v>
      </c>
      <c r="D46" s="131">
        <v>2005</v>
      </c>
      <c r="G46" s="103">
        <v>2000000</v>
      </c>
      <c r="H46" s="122">
        <f>G46</f>
        <v>2000000</v>
      </c>
      <c r="I46" s="123">
        <f>AB83</f>
        <v>1.3955788190203569</v>
      </c>
      <c r="J46" s="19">
        <f t="shared" si="4"/>
        <v>2791157.6380407135</v>
      </c>
      <c r="K46" s="124">
        <v>38448</v>
      </c>
      <c r="L46" s="125"/>
      <c r="M46" s="124">
        <v>38453</v>
      </c>
      <c r="N46" s="104" t="s">
        <v>299</v>
      </c>
      <c r="O46" s="118">
        <f t="shared" si="0"/>
        <v>5</v>
      </c>
      <c r="P46" s="118"/>
      <c r="Q46" s="118"/>
      <c r="R46" s="126"/>
      <c r="S46" s="127"/>
      <c r="T46" s="126"/>
      <c r="U46" s="126"/>
      <c r="V46" s="128"/>
      <c r="W46" s="128"/>
      <c r="X46" s="128"/>
      <c r="Y46" s="130">
        <v>37316</v>
      </c>
      <c r="Z46" s="13">
        <v>0.09</v>
      </c>
      <c r="AA46" s="10">
        <v>1.0009</v>
      </c>
      <c r="AB46">
        <f t="shared" si="2"/>
        <v>2.160745098477867</v>
      </c>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row>
    <row r="47" spans="1:69" ht="20.25" customHeight="1">
      <c r="A47" s="188">
        <f t="shared" si="3"/>
        <v>5</v>
      </c>
      <c r="B47" s="118" t="s">
        <v>335</v>
      </c>
      <c r="C47" s="118">
        <v>5</v>
      </c>
      <c r="D47" s="120">
        <v>2005</v>
      </c>
      <c r="H47" s="122"/>
      <c r="I47" s="123">
        <f>AB84</f>
        <v>1.3836791780887934</v>
      </c>
      <c r="J47" s="19">
        <f t="shared" si="4"/>
        <v>0</v>
      </c>
      <c r="K47" s="124">
        <v>38475</v>
      </c>
      <c r="L47" s="125">
        <v>38509</v>
      </c>
      <c r="M47" s="124">
        <v>38959</v>
      </c>
      <c r="N47" s="104" t="s">
        <v>195</v>
      </c>
      <c r="O47" s="118">
        <f t="shared" si="0"/>
        <v>484</v>
      </c>
      <c r="P47" s="118"/>
      <c r="Q47" s="118"/>
      <c r="R47" s="126"/>
      <c r="S47" s="127"/>
      <c r="T47" s="126"/>
      <c r="U47" s="126"/>
      <c r="V47" s="128"/>
      <c r="W47" s="128"/>
      <c r="X47" s="128"/>
      <c r="Y47" s="12">
        <v>37347</v>
      </c>
      <c r="Z47" s="13">
        <v>0.56</v>
      </c>
      <c r="AA47" s="10">
        <f aca="true" t="shared" si="6" ref="AA47:AA108">Z47/100+1</f>
        <v>1.0056</v>
      </c>
      <c r="AB47">
        <f t="shared" si="2"/>
        <v>2.1588021765190004</v>
      </c>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row>
    <row r="48" spans="1:69" ht="20.25" customHeight="1">
      <c r="A48" s="188">
        <f t="shared" si="3"/>
        <v>6</v>
      </c>
      <c r="B48" s="118" t="s">
        <v>335</v>
      </c>
      <c r="C48" s="118">
        <v>6</v>
      </c>
      <c r="D48" s="131">
        <v>2005</v>
      </c>
      <c r="G48" s="103">
        <v>2098000</v>
      </c>
      <c r="H48" s="122">
        <f>G48</f>
        <v>2098000</v>
      </c>
      <c r="I48" s="123">
        <f>AB84</f>
        <v>1.3836791780887934</v>
      </c>
      <c r="J48" s="19">
        <f t="shared" si="4"/>
        <v>2902958.9156302884</v>
      </c>
      <c r="K48" s="124">
        <v>38478</v>
      </c>
      <c r="L48" s="125"/>
      <c r="M48" s="124">
        <v>38492</v>
      </c>
      <c r="N48" s="104" t="s">
        <v>299</v>
      </c>
      <c r="O48" s="118">
        <f t="shared" si="0"/>
        <v>14</v>
      </c>
      <c r="P48" s="118"/>
      <c r="Q48" s="118"/>
      <c r="R48" s="126"/>
      <c r="S48" s="127"/>
      <c r="T48" s="126"/>
      <c r="U48" s="126"/>
      <c r="V48" s="128"/>
      <c r="W48" s="128"/>
      <c r="X48" s="128"/>
      <c r="Y48" s="130">
        <v>37377</v>
      </c>
      <c r="Z48" s="15">
        <v>0.83</v>
      </c>
      <c r="AA48" s="10">
        <f t="shared" si="6"/>
        <v>1.0083</v>
      </c>
      <c r="AB48">
        <f t="shared" si="2"/>
        <v>2.146780207357797</v>
      </c>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row>
    <row r="49" spans="1:69" ht="20.25" customHeight="1">
      <c r="A49" s="188">
        <f t="shared" si="3"/>
        <v>7</v>
      </c>
      <c r="B49" s="118" t="s">
        <v>335</v>
      </c>
      <c r="C49" s="118">
        <v>7</v>
      </c>
      <c r="D49" s="120">
        <v>2005</v>
      </c>
      <c r="G49" s="103">
        <v>8523831.06</v>
      </c>
      <c r="H49" s="122">
        <f>G49</f>
        <v>8523831.06</v>
      </c>
      <c r="I49" s="123">
        <f>AB84</f>
        <v>1.3836791780887934</v>
      </c>
      <c r="J49" s="19">
        <f t="shared" si="4"/>
        <v>11794247.55526853</v>
      </c>
      <c r="K49" s="124">
        <v>38478</v>
      </c>
      <c r="L49" s="125">
        <v>38533</v>
      </c>
      <c r="M49" s="124">
        <v>38655</v>
      </c>
      <c r="N49" s="104" t="s">
        <v>195</v>
      </c>
      <c r="O49" s="118">
        <f t="shared" si="0"/>
        <v>177</v>
      </c>
      <c r="P49" s="118"/>
      <c r="Q49" s="118"/>
      <c r="R49" s="126"/>
      <c r="S49" s="127"/>
      <c r="T49" s="126"/>
      <c r="U49" s="126"/>
      <c r="V49" s="128"/>
      <c r="W49" s="128"/>
      <c r="X49" s="128"/>
      <c r="Y49" s="12">
        <v>37408</v>
      </c>
      <c r="Z49" s="15">
        <v>1.54</v>
      </c>
      <c r="AA49" s="10">
        <f t="shared" si="6"/>
        <v>1.0154</v>
      </c>
      <c r="AB49">
        <f t="shared" si="2"/>
        <v>2.1291086059285895</v>
      </c>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row>
    <row r="50" spans="1:69" ht="20.25" customHeight="1">
      <c r="A50" s="188">
        <f t="shared" si="3"/>
        <v>8</v>
      </c>
      <c r="B50" s="118" t="s">
        <v>335</v>
      </c>
      <c r="C50" s="118">
        <v>8</v>
      </c>
      <c r="D50" s="120">
        <v>2005</v>
      </c>
      <c r="G50" s="103">
        <v>2000000</v>
      </c>
      <c r="H50" s="122">
        <f>G50</f>
        <v>2000000</v>
      </c>
      <c r="I50" s="123">
        <f>AB85</f>
        <v>1.3867299840537115</v>
      </c>
      <c r="J50" s="19">
        <f t="shared" si="4"/>
        <v>2773459.968107423</v>
      </c>
      <c r="K50" s="124">
        <v>38506</v>
      </c>
      <c r="L50" s="125">
        <v>38563</v>
      </c>
      <c r="M50" s="124">
        <v>39102</v>
      </c>
      <c r="N50" s="104" t="s">
        <v>195</v>
      </c>
      <c r="O50" s="118">
        <f t="shared" si="0"/>
        <v>596</v>
      </c>
      <c r="P50" s="118"/>
      <c r="Q50" s="118"/>
      <c r="R50" s="126"/>
      <c r="S50" s="127"/>
      <c r="T50" s="126"/>
      <c r="U50" s="126"/>
      <c r="V50" s="128"/>
      <c r="W50" s="128"/>
      <c r="X50" s="128"/>
      <c r="Y50" s="130">
        <v>37438</v>
      </c>
      <c r="Z50" s="15">
        <v>1.95</v>
      </c>
      <c r="AA50" s="10">
        <f t="shared" si="6"/>
        <v>1.0195</v>
      </c>
      <c r="AB50">
        <f t="shared" si="2"/>
        <v>2.0968176146627826</v>
      </c>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row>
    <row r="51" spans="1:69" ht="20.25" customHeight="1">
      <c r="A51" s="188">
        <f t="shared" si="3"/>
        <v>9</v>
      </c>
      <c r="B51" s="118" t="s">
        <v>335</v>
      </c>
      <c r="C51" s="118">
        <v>9</v>
      </c>
      <c r="D51" s="120">
        <v>2005</v>
      </c>
      <c r="H51" s="122"/>
      <c r="I51" s="123">
        <f>AB85</f>
        <v>1.3867299840537115</v>
      </c>
      <c r="J51" s="19">
        <f t="shared" si="4"/>
        <v>0</v>
      </c>
      <c r="K51" s="124">
        <v>38517</v>
      </c>
      <c r="L51" s="125">
        <v>38584</v>
      </c>
      <c r="M51" s="124">
        <v>39104</v>
      </c>
      <c r="N51" s="104" t="s">
        <v>195</v>
      </c>
      <c r="O51" s="118">
        <f t="shared" si="0"/>
        <v>587</v>
      </c>
      <c r="P51" s="118"/>
      <c r="Q51" s="118"/>
      <c r="R51" s="126"/>
      <c r="S51" s="127"/>
      <c r="T51" s="126"/>
      <c r="U51" s="126"/>
      <c r="V51" s="128"/>
      <c r="W51" s="128"/>
      <c r="X51" s="128"/>
      <c r="Y51" s="130">
        <v>37469</v>
      </c>
      <c r="Z51" s="15">
        <v>2.32</v>
      </c>
      <c r="AA51" s="10">
        <f t="shared" si="6"/>
        <v>1.0232</v>
      </c>
      <c r="AB51">
        <f t="shared" si="2"/>
        <v>2.056711735814402</v>
      </c>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row>
    <row r="52" spans="1:69" ht="20.25" customHeight="1">
      <c r="A52" s="188">
        <f t="shared" si="3"/>
        <v>10</v>
      </c>
      <c r="B52" s="118" t="s">
        <v>335</v>
      </c>
      <c r="C52" s="118">
        <v>10</v>
      </c>
      <c r="D52" s="120">
        <v>2005</v>
      </c>
      <c r="H52" s="122"/>
      <c r="I52" s="123">
        <f>AB86</f>
        <v>1.3928585617253029</v>
      </c>
      <c r="J52" s="19">
        <f t="shared" si="4"/>
        <v>0</v>
      </c>
      <c r="K52" s="124">
        <v>38548</v>
      </c>
      <c r="L52" s="125">
        <v>38837</v>
      </c>
      <c r="M52" s="124">
        <v>38867</v>
      </c>
      <c r="N52" s="104" t="s">
        <v>195</v>
      </c>
      <c r="O52" s="118">
        <f t="shared" si="0"/>
        <v>319</v>
      </c>
      <c r="P52" s="118"/>
      <c r="Q52" s="118"/>
      <c r="R52" s="126"/>
      <c r="S52" s="127"/>
      <c r="T52" s="126"/>
      <c r="U52" s="126"/>
      <c r="V52" s="128"/>
      <c r="W52" s="128"/>
      <c r="X52" s="128"/>
      <c r="Y52" s="12">
        <v>37500</v>
      </c>
      <c r="Z52" s="15">
        <v>2.4</v>
      </c>
      <c r="AA52" s="10">
        <f t="shared" si="6"/>
        <v>1.024</v>
      </c>
      <c r="AB52">
        <f t="shared" si="2"/>
        <v>2.0100779278874135</v>
      </c>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row>
    <row r="53" spans="1:69" ht="20.25" customHeight="1">
      <c r="A53" s="188">
        <f t="shared" si="3"/>
        <v>11</v>
      </c>
      <c r="B53" s="118" t="s">
        <v>335</v>
      </c>
      <c r="C53" s="118">
        <v>11</v>
      </c>
      <c r="D53" s="120">
        <v>2005</v>
      </c>
      <c r="G53" s="103">
        <v>8000000</v>
      </c>
      <c r="H53" s="122">
        <f>G53</f>
        <v>8000000</v>
      </c>
      <c r="I53" s="123">
        <f>AB89</f>
        <v>1.4142498647075328</v>
      </c>
      <c r="J53" s="19">
        <f t="shared" si="4"/>
        <v>11313998.917660262</v>
      </c>
      <c r="K53" s="124">
        <v>38635</v>
      </c>
      <c r="L53" s="125">
        <v>38686</v>
      </c>
      <c r="M53" s="124">
        <v>38959</v>
      </c>
      <c r="N53" s="104" t="s">
        <v>195</v>
      </c>
      <c r="O53" s="118">
        <f t="shared" si="0"/>
        <v>324</v>
      </c>
      <c r="P53" s="118"/>
      <c r="Q53" s="118"/>
      <c r="R53" s="126"/>
      <c r="S53" s="127"/>
      <c r="T53" s="126"/>
      <c r="U53" s="126"/>
      <c r="V53" s="128"/>
      <c r="W53" s="128"/>
      <c r="X53" s="128"/>
      <c r="Y53" s="12">
        <v>37530</v>
      </c>
      <c r="Z53" s="15">
        <v>3.87</v>
      </c>
      <c r="AA53" s="10">
        <f t="shared" si="6"/>
        <v>1.0387</v>
      </c>
      <c r="AB53">
        <f t="shared" si="2"/>
        <v>1.9629667264525523</v>
      </c>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row>
    <row r="54" spans="1:69" ht="20.25" customHeight="1">
      <c r="A54" s="188">
        <f t="shared" si="3"/>
        <v>12</v>
      </c>
      <c r="B54" s="118" t="s">
        <v>335</v>
      </c>
      <c r="C54" s="118">
        <v>12</v>
      </c>
      <c r="D54" s="120">
        <v>2005</v>
      </c>
      <c r="H54" s="122"/>
      <c r="I54" s="123">
        <f>AB91</f>
        <v>1.400214118384843</v>
      </c>
      <c r="J54" s="19">
        <f t="shared" si="4"/>
        <v>0</v>
      </c>
      <c r="K54" s="124">
        <v>38693</v>
      </c>
      <c r="L54" s="125">
        <v>38706</v>
      </c>
      <c r="M54" s="124">
        <v>38990</v>
      </c>
      <c r="N54" s="104" t="s">
        <v>195</v>
      </c>
      <c r="O54" s="118">
        <f t="shared" si="0"/>
        <v>297</v>
      </c>
      <c r="P54" s="118"/>
      <c r="Q54" s="118"/>
      <c r="R54" s="126"/>
      <c r="S54" s="127"/>
      <c r="T54" s="126"/>
      <c r="U54" s="126"/>
      <c r="V54" s="128"/>
      <c r="W54" s="128"/>
      <c r="X54" s="128"/>
      <c r="Y54" s="130">
        <v>37561</v>
      </c>
      <c r="Z54" s="15">
        <v>5.19</v>
      </c>
      <c r="AA54" s="10">
        <f t="shared" si="6"/>
        <v>1.0519</v>
      </c>
      <c r="AB54">
        <f t="shared" si="2"/>
        <v>1.8898302940719673</v>
      </c>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row>
    <row r="55" spans="1:69" ht="20.25" customHeight="1">
      <c r="A55" s="188">
        <f t="shared" si="3"/>
        <v>13</v>
      </c>
      <c r="B55" s="118" t="s">
        <v>335</v>
      </c>
      <c r="C55" s="118">
        <v>13</v>
      </c>
      <c r="D55" s="120">
        <v>2005</v>
      </c>
      <c r="G55" s="103">
        <v>6545678.45</v>
      </c>
      <c r="H55" s="122">
        <f>G55</f>
        <v>6545678.45</v>
      </c>
      <c r="I55" s="123">
        <f>AB91</f>
        <v>1.400214118384843</v>
      </c>
      <c r="J55" s="19">
        <f t="shared" si="4"/>
        <v>9165351.380097417</v>
      </c>
      <c r="K55" s="124">
        <v>38702</v>
      </c>
      <c r="L55" s="125">
        <v>38806</v>
      </c>
      <c r="M55" s="124">
        <v>39081</v>
      </c>
      <c r="N55" s="104" t="s">
        <v>195</v>
      </c>
      <c r="O55" s="118">
        <f t="shared" si="0"/>
        <v>379</v>
      </c>
      <c r="P55" s="118"/>
      <c r="Q55" s="118"/>
      <c r="R55" s="126"/>
      <c r="S55" s="127"/>
      <c r="T55" s="126"/>
      <c r="U55" s="126"/>
      <c r="V55" s="128"/>
      <c r="W55" s="128"/>
      <c r="X55" s="128"/>
      <c r="Y55" s="130">
        <v>37591</v>
      </c>
      <c r="Z55" s="15">
        <v>3.75</v>
      </c>
      <c r="AA55" s="10">
        <f t="shared" si="6"/>
        <v>1.0375</v>
      </c>
      <c r="AB55">
        <f t="shared" si="2"/>
        <v>1.7965874076166624</v>
      </c>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row>
    <row r="56" spans="1:69" ht="20.25" customHeight="1">
      <c r="A56" s="118">
        <v>1</v>
      </c>
      <c r="B56" s="118" t="s">
        <v>335</v>
      </c>
      <c r="C56" s="118">
        <v>1</v>
      </c>
      <c r="D56" s="120">
        <v>2006</v>
      </c>
      <c r="G56" s="103">
        <v>70056000</v>
      </c>
      <c r="H56" s="122">
        <f>G56</f>
        <v>70056000</v>
      </c>
      <c r="I56" s="123">
        <f>AB94</f>
        <v>1.3874495961028384</v>
      </c>
      <c r="J56" s="19">
        <f t="shared" si="4"/>
        <v>97199168.90458044</v>
      </c>
      <c r="K56" s="124">
        <v>38806</v>
      </c>
      <c r="L56" s="125"/>
      <c r="M56" s="124">
        <v>39102</v>
      </c>
      <c r="N56" s="104" t="s">
        <v>195</v>
      </c>
      <c r="O56" s="118">
        <f t="shared" si="0"/>
        <v>296</v>
      </c>
      <c r="P56" s="118"/>
      <c r="Q56" s="118"/>
      <c r="R56" s="126"/>
      <c r="S56" s="127"/>
      <c r="T56" s="126"/>
      <c r="U56" s="126"/>
      <c r="V56" s="128"/>
      <c r="W56" s="128"/>
      <c r="X56" s="128"/>
      <c r="Y56" s="12">
        <v>37622</v>
      </c>
      <c r="Z56" s="15">
        <v>2.33</v>
      </c>
      <c r="AA56" s="10">
        <f t="shared" si="6"/>
        <v>1.0233</v>
      </c>
      <c r="AB56">
        <f t="shared" si="2"/>
        <v>1.7316505133654576</v>
      </c>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row>
    <row r="57" spans="1:69" ht="20.25" customHeight="1">
      <c r="A57" s="118">
        <f t="shared" si="3"/>
        <v>2</v>
      </c>
      <c r="B57" s="118" t="s">
        <v>335</v>
      </c>
      <c r="C57" s="118">
        <v>2</v>
      </c>
      <c r="D57" s="120">
        <v>2006</v>
      </c>
      <c r="H57" s="122"/>
      <c r="I57" s="123">
        <f>AB92</f>
        <v>1.400354153800223</v>
      </c>
      <c r="J57" s="19">
        <f t="shared" si="4"/>
        <v>0</v>
      </c>
      <c r="K57" s="124">
        <v>38744</v>
      </c>
      <c r="L57" s="125">
        <v>38806</v>
      </c>
      <c r="M57" s="124">
        <v>38990</v>
      </c>
      <c r="N57" s="104" t="s">
        <v>195</v>
      </c>
      <c r="O57" s="118">
        <f t="shared" si="0"/>
        <v>246</v>
      </c>
      <c r="P57" s="118"/>
      <c r="Q57" s="118"/>
      <c r="R57" s="126"/>
      <c r="S57" s="127"/>
      <c r="T57" s="126"/>
      <c r="U57" s="126"/>
      <c r="V57" s="128"/>
      <c r="W57" s="128"/>
      <c r="X57" s="128"/>
      <c r="Y57" s="12">
        <v>37653</v>
      </c>
      <c r="Z57" s="15">
        <v>2.28</v>
      </c>
      <c r="AA57" s="10">
        <f t="shared" si="6"/>
        <v>1.0228</v>
      </c>
      <c r="AB57">
        <f t="shared" si="2"/>
        <v>1.6922217466680909</v>
      </c>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row>
    <row r="58" spans="1:69" ht="20.25" customHeight="1">
      <c r="A58" s="118">
        <f t="shared" si="3"/>
        <v>3</v>
      </c>
      <c r="B58" s="118" t="s">
        <v>335</v>
      </c>
      <c r="C58" s="118">
        <v>3</v>
      </c>
      <c r="D58" s="120">
        <v>2006</v>
      </c>
      <c r="H58" s="122"/>
      <c r="I58" s="123">
        <f>AB92</f>
        <v>1.400354153800223</v>
      </c>
      <c r="J58" s="19">
        <f t="shared" si="4"/>
        <v>0</v>
      </c>
      <c r="K58" s="124">
        <v>38740</v>
      </c>
      <c r="L58" s="125">
        <v>38768</v>
      </c>
      <c r="M58" s="124">
        <v>38806</v>
      </c>
      <c r="N58" s="104" t="s">
        <v>195</v>
      </c>
      <c r="O58" s="118">
        <f t="shared" si="0"/>
        <v>66</v>
      </c>
      <c r="P58" s="118"/>
      <c r="Q58" s="118"/>
      <c r="R58" s="126"/>
      <c r="S58" s="127"/>
      <c r="T58" s="126"/>
      <c r="U58" s="126"/>
      <c r="V58" s="128"/>
      <c r="W58" s="128"/>
      <c r="X58" s="128"/>
      <c r="Y58" s="12">
        <v>37681</v>
      </c>
      <c r="Z58" s="15">
        <v>1.53</v>
      </c>
      <c r="AA58" s="10">
        <f t="shared" si="6"/>
        <v>1.0153</v>
      </c>
      <c r="AB58">
        <f t="shared" si="2"/>
        <v>1.654499165690351</v>
      </c>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row>
    <row r="59" spans="1:69" ht="20.25" customHeight="1">
      <c r="A59" s="118">
        <f t="shared" si="3"/>
        <v>4</v>
      </c>
      <c r="B59" s="118" t="s">
        <v>335</v>
      </c>
      <c r="C59" s="118">
        <v>4</v>
      </c>
      <c r="D59" s="120">
        <v>2006</v>
      </c>
      <c r="G59" s="103">
        <v>2000000</v>
      </c>
      <c r="H59" s="122">
        <f>G59</f>
        <v>2000000</v>
      </c>
      <c r="I59" s="123">
        <f>AB93</f>
        <v>1.3875883410624485</v>
      </c>
      <c r="J59" s="19">
        <f t="shared" si="4"/>
        <v>2775176.682124897</v>
      </c>
      <c r="K59" s="124">
        <v>38757</v>
      </c>
      <c r="L59" s="125">
        <v>38837</v>
      </c>
      <c r="M59" s="124">
        <v>39385</v>
      </c>
      <c r="N59" s="104" t="s">
        <v>195</v>
      </c>
      <c r="O59" s="118">
        <f t="shared" si="0"/>
        <v>628</v>
      </c>
      <c r="P59" s="118"/>
      <c r="Q59" s="118"/>
      <c r="R59" s="126"/>
      <c r="S59" s="127"/>
      <c r="T59" s="126"/>
      <c r="U59" s="126"/>
      <c r="V59" s="128"/>
      <c r="W59" s="128"/>
      <c r="X59" s="128"/>
      <c r="Y59" s="12">
        <v>37712</v>
      </c>
      <c r="Z59" s="15">
        <v>0.92</v>
      </c>
      <c r="AA59" s="10">
        <f t="shared" si="6"/>
        <v>1.0092</v>
      </c>
      <c r="AB59">
        <f t="shared" si="2"/>
        <v>1.6295667937460365</v>
      </c>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row>
    <row r="60" spans="1:69" ht="20.25" customHeight="1">
      <c r="A60" s="118">
        <f t="shared" si="3"/>
        <v>5</v>
      </c>
      <c r="B60" s="118" t="s">
        <v>335</v>
      </c>
      <c r="C60" s="118">
        <v>5</v>
      </c>
      <c r="D60" s="120">
        <v>2006</v>
      </c>
      <c r="H60" s="122"/>
      <c r="I60" s="123">
        <f>AB93</f>
        <v>1.3875883410624485</v>
      </c>
      <c r="J60" s="19">
        <f t="shared" si="4"/>
        <v>0</v>
      </c>
      <c r="K60" s="124">
        <v>38764</v>
      </c>
      <c r="L60" s="125">
        <v>38959</v>
      </c>
      <c r="M60" s="124">
        <v>39436</v>
      </c>
      <c r="N60" s="104" t="s">
        <v>195</v>
      </c>
      <c r="O60" s="118">
        <f t="shared" si="0"/>
        <v>672</v>
      </c>
      <c r="P60" s="118"/>
      <c r="Q60" s="118"/>
      <c r="R60" s="126"/>
      <c r="S60" s="127"/>
      <c r="T60" s="126"/>
      <c r="U60" s="126"/>
      <c r="V60" s="128"/>
      <c r="W60" s="128"/>
      <c r="X60" s="128"/>
      <c r="Y60" s="12">
        <v>37742</v>
      </c>
      <c r="Z60" s="15">
        <v>-0.26</v>
      </c>
      <c r="AA60" s="10">
        <f t="shared" si="6"/>
        <v>0.9974</v>
      </c>
      <c r="AB60">
        <f t="shared" si="2"/>
        <v>1.6147114484205671</v>
      </c>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row>
    <row r="61" spans="1:69" ht="20.25" customHeight="1">
      <c r="A61" s="118">
        <f t="shared" si="3"/>
        <v>6</v>
      </c>
      <c r="B61" s="118" t="s">
        <v>335</v>
      </c>
      <c r="C61" s="118">
        <v>6</v>
      </c>
      <c r="D61" s="120">
        <v>2006</v>
      </c>
      <c r="G61" s="103">
        <v>6416862.74</v>
      </c>
      <c r="H61" s="122">
        <f>G61</f>
        <v>6416862.74</v>
      </c>
      <c r="I61" s="123">
        <f>AB94</f>
        <v>1.3874495961028384</v>
      </c>
      <c r="J61" s="19">
        <f t="shared" si="4"/>
        <v>8903073.616860352</v>
      </c>
      <c r="K61" s="124">
        <v>38799</v>
      </c>
      <c r="L61" s="125">
        <v>38867</v>
      </c>
      <c r="M61" s="124">
        <v>39020</v>
      </c>
      <c r="N61" s="104" t="s">
        <v>195</v>
      </c>
      <c r="O61" s="118">
        <f t="shared" si="0"/>
        <v>221</v>
      </c>
      <c r="P61" s="118"/>
      <c r="Q61" s="118"/>
      <c r="R61" s="126"/>
      <c r="S61" s="127"/>
      <c r="T61" s="126"/>
      <c r="U61" s="126"/>
      <c r="V61" s="128"/>
      <c r="W61" s="128"/>
      <c r="X61" s="128"/>
      <c r="Y61" s="12">
        <v>37773</v>
      </c>
      <c r="Z61" s="15">
        <v>-1</v>
      </c>
      <c r="AA61" s="10">
        <f t="shared" si="6"/>
        <v>0.99</v>
      </c>
      <c r="AB61">
        <f t="shared" si="2"/>
        <v>1.6189206420900013</v>
      </c>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row>
    <row r="62" spans="1:69" ht="20.25" customHeight="1">
      <c r="A62" s="118">
        <f t="shared" si="3"/>
        <v>7</v>
      </c>
      <c r="B62" s="118" t="s">
        <v>335</v>
      </c>
      <c r="C62" s="118">
        <v>7</v>
      </c>
      <c r="D62" s="120">
        <v>2006</v>
      </c>
      <c r="G62" s="103">
        <v>9000000</v>
      </c>
      <c r="H62" s="122">
        <f>G62</f>
        <v>9000000</v>
      </c>
      <c r="I62" s="123">
        <f>AB98</f>
        <v>1.3808702544856002</v>
      </c>
      <c r="J62" s="19">
        <f t="shared" si="4"/>
        <v>12427832.290370401</v>
      </c>
      <c r="K62" s="124">
        <v>38911</v>
      </c>
      <c r="L62" s="125">
        <v>38949</v>
      </c>
      <c r="M62" s="124">
        <v>39682</v>
      </c>
      <c r="N62" s="104" t="s">
        <v>195</v>
      </c>
      <c r="O62" s="118">
        <f t="shared" si="0"/>
        <v>771</v>
      </c>
      <c r="P62" s="118"/>
      <c r="Q62" s="118"/>
      <c r="R62" s="126"/>
      <c r="S62" s="127"/>
      <c r="T62" s="126"/>
      <c r="U62" s="126"/>
      <c r="V62" s="128"/>
      <c r="W62" s="128"/>
      <c r="X62" s="128"/>
      <c r="Y62" s="130">
        <v>37803</v>
      </c>
      <c r="Z62" s="15">
        <v>-0.42</v>
      </c>
      <c r="AA62" s="10">
        <f t="shared" si="6"/>
        <v>0.9958</v>
      </c>
      <c r="AB62">
        <f t="shared" si="2"/>
        <v>1.635273375848486</v>
      </c>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row>
    <row r="63" spans="1:69" ht="20.25" customHeight="1">
      <c r="A63" s="118">
        <f t="shared" si="3"/>
        <v>8</v>
      </c>
      <c r="B63" s="118" t="s">
        <v>335</v>
      </c>
      <c r="C63" s="118">
        <v>8</v>
      </c>
      <c r="D63" s="120">
        <v>2006</v>
      </c>
      <c r="H63" s="122"/>
      <c r="I63" s="123">
        <f>AB95</f>
        <v>1.3906480867022535</v>
      </c>
      <c r="J63" s="19">
        <f t="shared" si="4"/>
        <v>0</v>
      </c>
      <c r="K63" s="124">
        <v>38833</v>
      </c>
      <c r="L63" s="125">
        <v>38898</v>
      </c>
      <c r="M63" s="124">
        <v>39293</v>
      </c>
      <c r="N63" s="104" t="s">
        <v>195</v>
      </c>
      <c r="O63" s="118">
        <f t="shared" si="0"/>
        <v>460</v>
      </c>
      <c r="P63" s="118"/>
      <c r="Q63" s="118"/>
      <c r="R63" s="126"/>
      <c r="S63" s="127"/>
      <c r="T63" s="126"/>
      <c r="U63" s="126"/>
      <c r="V63" s="128"/>
      <c r="W63" s="128"/>
      <c r="X63" s="128"/>
      <c r="Y63" s="12">
        <v>37834</v>
      </c>
      <c r="Z63" s="15">
        <v>0.38</v>
      </c>
      <c r="AA63" s="10">
        <f t="shared" si="6"/>
        <v>1.0038</v>
      </c>
      <c r="AB63">
        <f t="shared" si="2"/>
        <v>1.642170491914527</v>
      </c>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row>
    <row r="64" spans="1:69" ht="20.25" customHeight="1">
      <c r="A64" s="118">
        <f t="shared" si="3"/>
        <v>9</v>
      </c>
      <c r="B64" s="118" t="s">
        <v>335</v>
      </c>
      <c r="C64" s="118">
        <v>9</v>
      </c>
      <c r="D64" s="120">
        <v>2006</v>
      </c>
      <c r="E64" s="129">
        <v>1800000</v>
      </c>
      <c r="F64" s="118">
        <v>1.71</v>
      </c>
      <c r="G64" s="103">
        <f>E64*F64</f>
        <v>3078000</v>
      </c>
      <c r="H64" s="122">
        <f>G64</f>
        <v>3078000</v>
      </c>
      <c r="I64" s="123">
        <f>AB96</f>
        <v>1.3965134431635404</v>
      </c>
      <c r="J64" s="19">
        <f t="shared" si="4"/>
        <v>4298468.378057377</v>
      </c>
      <c r="K64" s="124">
        <v>38842</v>
      </c>
      <c r="L64" s="125">
        <v>38898</v>
      </c>
      <c r="M64" s="124">
        <v>39293</v>
      </c>
      <c r="N64" s="104" t="s">
        <v>195</v>
      </c>
      <c r="O64" s="118">
        <f t="shared" si="0"/>
        <v>451</v>
      </c>
      <c r="P64" s="118"/>
      <c r="Q64" s="118"/>
      <c r="R64" s="126"/>
      <c r="S64" s="127"/>
      <c r="T64" s="126"/>
      <c r="U64" s="126"/>
      <c r="V64" s="128"/>
      <c r="W64" s="128"/>
      <c r="X64" s="128"/>
      <c r="Y64" s="130">
        <v>37865</v>
      </c>
      <c r="Z64" s="15">
        <v>1.18</v>
      </c>
      <c r="AA64" s="10">
        <f t="shared" si="6"/>
        <v>1.0118</v>
      </c>
      <c r="AB64">
        <f t="shared" si="2"/>
        <v>1.6359538672190945</v>
      </c>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row>
    <row r="65" spans="1:69" ht="20.25" customHeight="1">
      <c r="A65" s="118">
        <f t="shared" si="3"/>
        <v>10</v>
      </c>
      <c r="B65" s="118" t="s">
        <v>335</v>
      </c>
      <c r="C65" s="118">
        <v>10</v>
      </c>
      <c r="D65" s="120">
        <v>2006</v>
      </c>
      <c r="G65" s="103">
        <v>2568852.25</v>
      </c>
      <c r="H65" s="122">
        <f>G65</f>
        <v>2568852.25</v>
      </c>
      <c r="I65" s="123">
        <f>AB96</f>
        <v>1.3965134431635404</v>
      </c>
      <c r="J65" s="19">
        <f t="shared" si="4"/>
        <v>3587436.700625908</v>
      </c>
      <c r="K65" s="124">
        <v>38853</v>
      </c>
      <c r="L65" s="125">
        <v>38898</v>
      </c>
      <c r="M65" s="124">
        <v>38928</v>
      </c>
      <c r="N65" s="104" t="s">
        <v>195</v>
      </c>
      <c r="O65" s="118">
        <f t="shared" si="0"/>
        <v>75</v>
      </c>
      <c r="P65" s="118"/>
      <c r="Q65" s="118"/>
      <c r="R65" s="126"/>
      <c r="S65" s="127"/>
      <c r="T65" s="126"/>
      <c r="U65" s="126"/>
      <c r="V65" s="128"/>
      <c r="W65" s="128"/>
      <c r="X65" s="128"/>
      <c r="Y65" s="130">
        <v>37895</v>
      </c>
      <c r="Z65" s="15">
        <v>0.38</v>
      </c>
      <c r="AA65" s="10">
        <f t="shared" si="6"/>
        <v>1.0038</v>
      </c>
      <c r="AB65">
        <f t="shared" si="2"/>
        <v>1.6168747452254344</v>
      </c>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row>
    <row r="66" spans="1:69" ht="20.25" customHeight="1">
      <c r="A66" s="118">
        <f t="shared" si="3"/>
        <v>11</v>
      </c>
      <c r="B66" s="118" t="s">
        <v>335</v>
      </c>
      <c r="C66" s="118">
        <v>11</v>
      </c>
      <c r="D66" s="131">
        <v>2006</v>
      </c>
      <c r="H66" s="122"/>
      <c r="I66" s="123">
        <f>AB98</f>
        <v>1.3808702544856002</v>
      </c>
      <c r="J66" s="19">
        <f t="shared" si="4"/>
        <v>0</v>
      </c>
      <c r="K66" s="124">
        <v>38922</v>
      </c>
      <c r="L66" s="125">
        <v>39020</v>
      </c>
      <c r="M66" s="124"/>
      <c r="N66" s="104" t="s">
        <v>300</v>
      </c>
      <c r="O66" s="118"/>
      <c r="P66" s="118"/>
      <c r="Q66" s="118"/>
      <c r="R66" s="126"/>
      <c r="S66" s="127"/>
      <c r="T66" s="126"/>
      <c r="U66" s="126"/>
      <c r="V66" s="128"/>
      <c r="W66" s="128"/>
      <c r="X66" s="128"/>
      <c r="Y66" s="12">
        <v>37926</v>
      </c>
      <c r="Z66" s="15">
        <v>0.49</v>
      </c>
      <c r="AA66" s="10">
        <f t="shared" si="6"/>
        <v>1.0049</v>
      </c>
      <c r="AB66">
        <f t="shared" si="2"/>
        <v>1.6107538804796118</v>
      </c>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row>
    <row r="67" spans="1:69" ht="20.25" customHeight="1">
      <c r="A67" s="118">
        <f t="shared" si="3"/>
        <v>12</v>
      </c>
      <c r="B67" s="118" t="s">
        <v>335</v>
      </c>
      <c r="C67" s="118">
        <v>12</v>
      </c>
      <c r="D67" s="120">
        <v>2006</v>
      </c>
      <c r="H67" s="122"/>
      <c r="I67" s="123">
        <f>AB98</f>
        <v>1.3808702544856002</v>
      </c>
      <c r="J67" s="19">
        <f t="shared" si="4"/>
        <v>0</v>
      </c>
      <c r="K67" s="124">
        <v>38929</v>
      </c>
      <c r="L67" s="125">
        <v>38990</v>
      </c>
      <c r="M67" s="124">
        <v>39615</v>
      </c>
      <c r="N67" s="104" t="s">
        <v>195</v>
      </c>
      <c r="O67" s="118">
        <f>M67-K67</f>
        <v>686</v>
      </c>
      <c r="P67" s="118"/>
      <c r="Q67" s="118"/>
      <c r="R67" s="126"/>
      <c r="S67" s="127"/>
      <c r="T67" s="126"/>
      <c r="U67" s="126"/>
      <c r="V67" s="128"/>
      <c r="W67" s="128"/>
      <c r="X67" s="128"/>
      <c r="Y67" s="130">
        <v>37956</v>
      </c>
      <c r="Z67" s="15">
        <v>0.61</v>
      </c>
      <c r="AA67" s="10">
        <f t="shared" si="6"/>
        <v>1.0061</v>
      </c>
      <c r="AB67">
        <f t="shared" si="2"/>
        <v>1.6028996720863886</v>
      </c>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row>
    <row r="68" spans="1:69" ht="20.25" customHeight="1">
      <c r="A68" s="118">
        <f aca="true" t="shared" si="7" ref="A68:A131">A67+1</f>
        <v>13</v>
      </c>
      <c r="B68" s="118" t="s">
        <v>335</v>
      </c>
      <c r="C68" s="118">
        <v>13</v>
      </c>
      <c r="D68" s="120">
        <v>2006</v>
      </c>
      <c r="G68" s="103">
        <v>1028036.48</v>
      </c>
      <c r="H68" s="122">
        <f>G68</f>
        <v>1028036.48</v>
      </c>
      <c r="I68" s="123">
        <f>AB101</f>
        <v>1.3693368378940138</v>
      </c>
      <c r="J68" s="19">
        <f t="shared" si="4"/>
        <v>1407728.2227628925</v>
      </c>
      <c r="K68" s="124">
        <v>38946</v>
      </c>
      <c r="L68" s="125">
        <v>39051</v>
      </c>
      <c r="M68" s="124">
        <v>39232</v>
      </c>
      <c r="N68" s="104" t="s">
        <v>195</v>
      </c>
      <c r="O68" s="118">
        <f>M68-K68</f>
        <v>286</v>
      </c>
      <c r="P68" s="118"/>
      <c r="Q68" s="118"/>
      <c r="R68" s="126"/>
      <c r="S68" s="127"/>
      <c r="T68" s="126"/>
      <c r="U68" s="126"/>
      <c r="V68" s="128"/>
      <c r="W68" s="128"/>
      <c r="X68" s="128"/>
      <c r="Y68" s="130">
        <v>37987</v>
      </c>
      <c r="Z68" s="15">
        <v>0.88</v>
      </c>
      <c r="AA68" s="10">
        <f t="shared" si="6"/>
        <v>1.0088</v>
      </c>
      <c r="AB68">
        <f aca="true" t="shared" si="8" ref="AB68:AB131">AB69*AA68</f>
        <v>1.593181266361583</v>
      </c>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row>
    <row r="69" spans="1:69" ht="20.25" customHeight="1">
      <c r="A69" s="118">
        <f t="shared" si="7"/>
        <v>14</v>
      </c>
      <c r="B69" s="118" t="s">
        <v>335</v>
      </c>
      <c r="C69" s="118">
        <v>14</v>
      </c>
      <c r="D69" s="131">
        <v>2006</v>
      </c>
      <c r="H69" s="122"/>
      <c r="I69" s="123">
        <f>AB100</f>
        <v>1.3733079147239065</v>
      </c>
      <c r="J69" s="19">
        <f aca="true" t="shared" si="9" ref="J69:J132">I69*G69</f>
        <v>0</v>
      </c>
      <c r="K69" s="124">
        <v>38980</v>
      </c>
      <c r="L69" s="125">
        <v>39071</v>
      </c>
      <c r="M69" s="124"/>
      <c r="N69" s="104" t="s">
        <v>300</v>
      </c>
      <c r="O69" s="118"/>
      <c r="P69" s="118"/>
      <c r="Q69" s="118"/>
      <c r="R69" s="126"/>
      <c r="S69" s="127"/>
      <c r="T69" s="126"/>
      <c r="U69" s="126"/>
      <c r="V69" s="128"/>
      <c r="W69" s="128"/>
      <c r="X69" s="128"/>
      <c r="Y69" s="12">
        <v>38018</v>
      </c>
      <c r="Z69" s="15">
        <v>0.69</v>
      </c>
      <c r="AA69" s="10">
        <f t="shared" si="6"/>
        <v>1.0069</v>
      </c>
      <c r="AB69">
        <f t="shared" si="8"/>
        <v>1.5792835709373345</v>
      </c>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row>
    <row r="70" spans="1:69" ht="20.25" customHeight="1">
      <c r="A70" s="118">
        <f t="shared" si="7"/>
        <v>15</v>
      </c>
      <c r="B70" s="118" t="s">
        <v>335</v>
      </c>
      <c r="C70" s="118">
        <v>15</v>
      </c>
      <c r="D70" s="120">
        <v>2006</v>
      </c>
      <c r="G70" s="103">
        <v>880000</v>
      </c>
      <c r="H70" s="122">
        <f>G70</f>
        <v>880000</v>
      </c>
      <c r="I70" s="123">
        <f>AB101</f>
        <v>1.3693368378940138</v>
      </c>
      <c r="J70" s="19">
        <f t="shared" si="9"/>
        <v>1205016.4173467322</v>
      </c>
      <c r="K70" s="124">
        <v>38996</v>
      </c>
      <c r="L70" s="125">
        <v>39071</v>
      </c>
      <c r="M70" s="124">
        <v>39355</v>
      </c>
      <c r="N70" s="104" t="s">
        <v>195</v>
      </c>
      <c r="O70" s="118">
        <f>M70-K70</f>
        <v>359</v>
      </c>
      <c r="P70" s="118"/>
      <c r="Q70" s="118"/>
      <c r="R70" s="126"/>
      <c r="S70" s="127"/>
      <c r="T70" s="126"/>
      <c r="U70" s="126"/>
      <c r="V70" s="128"/>
      <c r="W70" s="128"/>
      <c r="X70" s="128"/>
      <c r="Y70" s="130">
        <v>38047</v>
      </c>
      <c r="Z70" s="15">
        <v>1.13</v>
      </c>
      <c r="AA70" s="10">
        <f t="shared" si="6"/>
        <v>1.0113</v>
      </c>
      <c r="AB70">
        <f t="shared" si="8"/>
        <v>1.5684611887350628</v>
      </c>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row>
    <row r="71" spans="1:69" ht="20.25" customHeight="1">
      <c r="A71" s="118">
        <f t="shared" si="7"/>
        <v>16</v>
      </c>
      <c r="B71" s="118" t="s">
        <v>335</v>
      </c>
      <c r="C71" s="118">
        <v>16</v>
      </c>
      <c r="D71" s="120">
        <v>2006</v>
      </c>
      <c r="G71" s="103">
        <v>120057359.99</v>
      </c>
      <c r="H71" s="122">
        <f>G71</f>
        <v>120057359.99</v>
      </c>
      <c r="I71" s="123">
        <f>AB102</f>
        <v>1.3629310619030695</v>
      </c>
      <c r="J71" s="19">
        <f t="shared" si="9"/>
        <v>163629905.14044976</v>
      </c>
      <c r="K71" s="124">
        <v>39029</v>
      </c>
      <c r="L71" s="125">
        <v>39069</v>
      </c>
      <c r="M71" s="124">
        <v>39435</v>
      </c>
      <c r="N71" s="104" t="s">
        <v>195</v>
      </c>
      <c r="O71" s="118">
        <f>M71-K71</f>
        <v>406</v>
      </c>
      <c r="P71" s="118"/>
      <c r="Q71" s="118"/>
      <c r="R71" s="126"/>
      <c r="S71" s="127"/>
      <c r="T71" s="126"/>
      <c r="U71" s="126"/>
      <c r="V71" s="128"/>
      <c r="W71" s="128"/>
      <c r="X71" s="128"/>
      <c r="Y71" s="130">
        <v>38078</v>
      </c>
      <c r="Z71" s="15">
        <v>1.21</v>
      </c>
      <c r="AA71" s="10">
        <f t="shared" si="6"/>
        <v>1.0121</v>
      </c>
      <c r="AB71">
        <f t="shared" si="8"/>
        <v>1.550935616271198</v>
      </c>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row>
    <row r="72" spans="1:69" ht="20.25" customHeight="1">
      <c r="A72" s="118">
        <f t="shared" si="7"/>
        <v>17</v>
      </c>
      <c r="B72" s="118" t="s">
        <v>335</v>
      </c>
      <c r="C72" s="118">
        <v>17</v>
      </c>
      <c r="D72" s="131">
        <v>2006</v>
      </c>
      <c r="G72" s="103">
        <v>5000000</v>
      </c>
      <c r="H72" s="122">
        <f>G72</f>
        <v>5000000</v>
      </c>
      <c r="I72" s="123">
        <f>AB102</f>
        <v>1.3629310619030695</v>
      </c>
      <c r="J72" s="19">
        <f t="shared" si="9"/>
        <v>6814655.309515348</v>
      </c>
      <c r="K72" s="124">
        <v>39031</v>
      </c>
      <c r="L72" s="125"/>
      <c r="M72" s="124">
        <v>39103</v>
      </c>
      <c r="N72" s="104" t="s">
        <v>183</v>
      </c>
      <c r="O72" s="118">
        <f>M72-K72</f>
        <v>72</v>
      </c>
      <c r="P72" s="118"/>
      <c r="Q72" s="118"/>
      <c r="R72" s="126"/>
      <c r="S72" s="127"/>
      <c r="T72" s="126"/>
      <c r="U72" s="126"/>
      <c r="V72" s="128"/>
      <c r="W72" s="128"/>
      <c r="X72" s="128"/>
      <c r="Y72" s="130">
        <v>38108</v>
      </c>
      <c r="Z72" s="15">
        <v>1.31</v>
      </c>
      <c r="AA72" s="10">
        <f t="shared" si="6"/>
        <v>1.0131000000000001</v>
      </c>
      <c r="AB72">
        <f t="shared" si="8"/>
        <v>1.5323936530690623</v>
      </c>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row>
    <row r="73" spans="1:69" ht="20.25" customHeight="1">
      <c r="A73" s="118">
        <f t="shared" si="7"/>
        <v>18</v>
      </c>
      <c r="B73" s="118" t="s">
        <v>335</v>
      </c>
      <c r="C73" s="118">
        <v>18</v>
      </c>
      <c r="D73" s="131">
        <v>2006</v>
      </c>
      <c r="H73" s="122"/>
      <c r="I73" s="123">
        <f>AB102</f>
        <v>1.3629310619030695</v>
      </c>
      <c r="J73" s="19">
        <f t="shared" si="9"/>
        <v>0</v>
      </c>
      <c r="K73" s="124">
        <v>39030</v>
      </c>
      <c r="L73" s="125">
        <v>39069</v>
      </c>
      <c r="M73" s="124"/>
      <c r="N73" s="104" t="s">
        <v>195</v>
      </c>
      <c r="O73" s="118"/>
      <c r="P73" s="118" t="s">
        <v>344</v>
      </c>
      <c r="Q73" s="118" t="s">
        <v>345</v>
      </c>
      <c r="R73" s="124"/>
      <c r="S73" s="104" t="s">
        <v>346</v>
      </c>
      <c r="T73" s="119" t="s">
        <v>347</v>
      </c>
      <c r="U73" s="119" t="s">
        <v>348</v>
      </c>
      <c r="V73" s="128"/>
      <c r="W73" s="128"/>
      <c r="X73" s="128"/>
      <c r="Y73" s="12">
        <v>38139</v>
      </c>
      <c r="Z73" s="15">
        <v>1.38</v>
      </c>
      <c r="AA73" s="10">
        <f t="shared" si="6"/>
        <v>1.0138</v>
      </c>
      <c r="AB73">
        <f t="shared" si="8"/>
        <v>1.5125788698737164</v>
      </c>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row>
    <row r="74" spans="1:69" ht="20.25" customHeight="1">
      <c r="A74" s="118">
        <f t="shared" si="7"/>
        <v>19</v>
      </c>
      <c r="B74" s="118" t="s">
        <v>335</v>
      </c>
      <c r="C74" s="118">
        <v>19</v>
      </c>
      <c r="D74" s="120">
        <v>2006</v>
      </c>
      <c r="G74" s="103">
        <v>2000000</v>
      </c>
      <c r="H74" s="122">
        <f>G74</f>
        <v>2000000</v>
      </c>
      <c r="I74" s="123">
        <f>AB102</f>
        <v>1.3629310619030695</v>
      </c>
      <c r="J74" s="19">
        <f t="shared" si="9"/>
        <v>2725862.123806139</v>
      </c>
      <c r="K74" s="124">
        <v>39044</v>
      </c>
      <c r="L74" s="125"/>
      <c r="M74" s="124">
        <v>39069</v>
      </c>
      <c r="N74" s="104" t="s">
        <v>195</v>
      </c>
      <c r="O74" s="118">
        <f>M74-K74</f>
        <v>25</v>
      </c>
      <c r="P74" s="118"/>
      <c r="Q74" s="118"/>
      <c r="R74" s="124"/>
      <c r="S74" s="127"/>
      <c r="T74" s="118"/>
      <c r="U74" s="119"/>
      <c r="V74" s="128"/>
      <c r="W74" s="128"/>
      <c r="X74" s="128"/>
      <c r="Y74" s="12">
        <v>38169</v>
      </c>
      <c r="Z74" s="15">
        <v>1.31</v>
      </c>
      <c r="AA74" s="10">
        <f t="shared" si="6"/>
        <v>1.0131000000000001</v>
      </c>
      <c r="AB74">
        <f t="shared" si="8"/>
        <v>1.4919894159338294</v>
      </c>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row>
    <row r="75" spans="1:69" ht="20.25" customHeight="1">
      <c r="A75" s="118">
        <f t="shared" si="7"/>
        <v>20</v>
      </c>
      <c r="B75" s="118" t="s">
        <v>335</v>
      </c>
      <c r="C75" s="118">
        <v>20</v>
      </c>
      <c r="D75" s="120">
        <v>2006</v>
      </c>
      <c r="H75" s="122"/>
      <c r="I75" s="123">
        <f>AB103</f>
        <v>1.3527851731047835</v>
      </c>
      <c r="J75" s="19">
        <f t="shared" si="9"/>
        <v>0</v>
      </c>
      <c r="K75" s="124">
        <v>39057</v>
      </c>
      <c r="L75" s="125">
        <v>39128</v>
      </c>
      <c r="M75" s="124">
        <v>39498</v>
      </c>
      <c r="N75" s="104" t="s">
        <v>195</v>
      </c>
      <c r="O75" s="118">
        <f>M75-K75</f>
        <v>441</v>
      </c>
      <c r="P75" s="118"/>
      <c r="Q75" s="118"/>
      <c r="R75" s="124"/>
      <c r="S75" s="127"/>
      <c r="T75" s="118"/>
      <c r="U75" s="119"/>
      <c r="V75" s="128"/>
      <c r="W75" s="128"/>
      <c r="X75" s="128"/>
      <c r="Y75" s="130">
        <v>38200</v>
      </c>
      <c r="Z75" s="15">
        <v>1.22</v>
      </c>
      <c r="AA75" s="10">
        <f t="shared" si="6"/>
        <v>1.0122</v>
      </c>
      <c r="AB75">
        <f t="shared" si="8"/>
        <v>1.472697084131704</v>
      </c>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row>
    <row r="76" spans="1:69" ht="20.25" customHeight="1">
      <c r="A76" s="118">
        <f t="shared" si="7"/>
        <v>21</v>
      </c>
      <c r="B76" s="118" t="s">
        <v>335</v>
      </c>
      <c r="C76" s="118">
        <v>21</v>
      </c>
      <c r="D76" s="120">
        <v>2006</v>
      </c>
      <c r="H76" s="122"/>
      <c r="I76" s="123">
        <f>AB103</f>
        <v>1.3527851731047835</v>
      </c>
      <c r="J76" s="19">
        <f t="shared" si="9"/>
        <v>0</v>
      </c>
      <c r="K76" s="124">
        <v>39062</v>
      </c>
      <c r="L76" s="125">
        <v>39140</v>
      </c>
      <c r="M76" s="124">
        <v>39436</v>
      </c>
      <c r="N76" s="104" t="s">
        <v>195</v>
      </c>
      <c r="O76" s="118">
        <f>M76-K76</f>
        <v>374</v>
      </c>
      <c r="P76" s="118"/>
      <c r="Q76" s="118"/>
      <c r="R76" s="124"/>
      <c r="S76" s="127"/>
      <c r="T76" s="118"/>
      <c r="U76" s="119"/>
      <c r="V76" s="128"/>
      <c r="W76" s="128"/>
      <c r="X76" s="128"/>
      <c r="Y76" s="130">
        <v>38231</v>
      </c>
      <c r="Z76" s="15">
        <v>0.69</v>
      </c>
      <c r="AA76" s="10">
        <f t="shared" si="6"/>
        <v>1.0069</v>
      </c>
      <c r="AB76">
        <f t="shared" si="8"/>
        <v>1.4549467339771824</v>
      </c>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row>
    <row r="77" spans="1:69" ht="20.25" customHeight="1">
      <c r="A77" s="188">
        <v>1</v>
      </c>
      <c r="B77" s="118" t="s">
        <v>335</v>
      </c>
      <c r="C77" s="118">
        <v>1</v>
      </c>
      <c r="D77" s="131">
        <v>2007</v>
      </c>
      <c r="G77" s="103">
        <v>5384731.94</v>
      </c>
      <c r="H77" s="122">
        <f>G77</f>
        <v>5384731.94</v>
      </c>
      <c r="I77" s="123">
        <f>AB107</f>
        <v>1.3336139747492377</v>
      </c>
      <c r="J77" s="19">
        <f t="shared" si="9"/>
        <v>7181153.765462575</v>
      </c>
      <c r="K77" s="124">
        <v>39175</v>
      </c>
      <c r="L77" s="125"/>
      <c r="M77" s="124"/>
      <c r="N77" s="104" t="s">
        <v>300</v>
      </c>
      <c r="O77" s="118"/>
      <c r="P77" s="118"/>
      <c r="Q77" s="118"/>
      <c r="R77" s="124"/>
      <c r="S77" s="127"/>
      <c r="T77" s="118"/>
      <c r="U77" s="119"/>
      <c r="V77" s="128"/>
      <c r="W77" s="128"/>
      <c r="X77" s="128"/>
      <c r="Y77" s="130">
        <v>38261</v>
      </c>
      <c r="Z77" s="15">
        <v>0.39</v>
      </c>
      <c r="AA77" s="10">
        <f t="shared" si="6"/>
        <v>1.0039</v>
      </c>
      <c r="AB77">
        <f t="shared" si="8"/>
        <v>1.4449763968389935</v>
      </c>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row>
    <row r="78" spans="1:69" ht="20.25" customHeight="1">
      <c r="A78" s="188">
        <f t="shared" si="7"/>
        <v>2</v>
      </c>
      <c r="B78" s="118" t="s">
        <v>335</v>
      </c>
      <c r="C78" s="118">
        <v>2</v>
      </c>
      <c r="D78" s="120">
        <v>2007</v>
      </c>
      <c r="H78" s="122"/>
      <c r="I78" s="123">
        <f>AB105</f>
        <v>1.341761262571496</v>
      </c>
      <c r="J78" s="19">
        <f t="shared" si="9"/>
        <v>0</v>
      </c>
      <c r="K78" s="124">
        <v>39141</v>
      </c>
      <c r="L78" s="125">
        <v>39231</v>
      </c>
      <c r="M78" s="124">
        <v>39263</v>
      </c>
      <c r="N78" s="104" t="s">
        <v>195</v>
      </c>
      <c r="O78" s="118">
        <f>M78-K78</f>
        <v>122</v>
      </c>
      <c r="P78" s="118"/>
      <c r="Q78" s="118"/>
      <c r="R78" s="124"/>
      <c r="S78" s="127"/>
      <c r="T78" s="118"/>
      <c r="U78" s="119"/>
      <c r="V78" s="128"/>
      <c r="W78" s="128"/>
      <c r="X78" s="128"/>
      <c r="Y78" s="12">
        <v>38292</v>
      </c>
      <c r="Z78" s="15">
        <v>0.82</v>
      </c>
      <c r="AA78" s="10">
        <f t="shared" si="6"/>
        <v>1.0082</v>
      </c>
      <c r="AB78">
        <f t="shared" si="8"/>
        <v>1.4393628816007504</v>
      </c>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row>
    <row r="79" spans="1:69" ht="20.25" customHeight="1">
      <c r="A79" s="188">
        <f t="shared" si="7"/>
        <v>3</v>
      </c>
      <c r="B79" s="118" t="s">
        <v>335</v>
      </c>
      <c r="C79" s="118">
        <v>3</v>
      </c>
      <c r="D79" s="120">
        <v>2007</v>
      </c>
      <c r="G79" s="103">
        <v>2424515.9</v>
      </c>
      <c r="H79" s="122">
        <f>G79</f>
        <v>2424515.9</v>
      </c>
      <c r="I79" s="123">
        <f>AB107</f>
        <v>1.3336139747492377</v>
      </c>
      <c r="J79" s="19">
        <f t="shared" si="9"/>
        <v>3233368.286241725</v>
      </c>
      <c r="K79" s="124">
        <v>39175</v>
      </c>
      <c r="L79" s="125">
        <v>39218</v>
      </c>
      <c r="M79" s="124">
        <v>39355</v>
      </c>
      <c r="N79" s="104" t="s">
        <v>195</v>
      </c>
      <c r="O79" s="118">
        <f>M79-K79</f>
        <v>180</v>
      </c>
      <c r="P79" s="118"/>
      <c r="Q79" s="118"/>
      <c r="R79" s="124"/>
      <c r="S79" s="127"/>
      <c r="T79" s="118"/>
      <c r="U79" s="119"/>
      <c r="V79" s="128"/>
      <c r="W79" s="128"/>
      <c r="X79" s="128"/>
      <c r="Y79" s="12">
        <v>38322</v>
      </c>
      <c r="Z79" s="15">
        <v>0.74</v>
      </c>
      <c r="AA79" s="10">
        <f t="shared" si="6"/>
        <v>1.0074</v>
      </c>
      <c r="AB79">
        <f t="shared" si="8"/>
        <v>1.4276561015678937</v>
      </c>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row>
    <row r="80" spans="1:69" ht="20.25" customHeight="1">
      <c r="A80" s="188">
        <f t="shared" si="7"/>
        <v>4</v>
      </c>
      <c r="B80" s="118" t="s">
        <v>335</v>
      </c>
      <c r="C80" s="118">
        <v>4</v>
      </c>
      <c r="D80" s="131">
        <v>2007</v>
      </c>
      <c r="G80" s="103">
        <v>963894.15</v>
      </c>
      <c r="H80" s="122">
        <f>G80</f>
        <v>963894.15</v>
      </c>
      <c r="I80" s="123">
        <f>AB107</f>
        <v>1.3336139747492377</v>
      </c>
      <c r="J80" s="19">
        <f t="shared" si="9"/>
        <v>1285462.7086190379</v>
      </c>
      <c r="K80" s="124">
        <v>39190</v>
      </c>
      <c r="L80" s="125"/>
      <c r="M80" s="124">
        <v>39251</v>
      </c>
      <c r="N80" s="104" t="s">
        <v>299</v>
      </c>
      <c r="O80" s="118">
        <f>M80-K80</f>
        <v>61</v>
      </c>
      <c r="P80" s="118"/>
      <c r="Q80" s="118"/>
      <c r="R80" s="124"/>
      <c r="S80" s="127"/>
      <c r="T80" s="118"/>
      <c r="U80" s="119"/>
      <c r="V80" s="128"/>
      <c r="W80" s="128"/>
      <c r="X80" s="128"/>
      <c r="Y80" s="130">
        <v>38353</v>
      </c>
      <c r="Z80" s="15">
        <v>0.39</v>
      </c>
      <c r="AA80" s="10">
        <f t="shared" si="6"/>
        <v>1.0039</v>
      </c>
      <c r="AB80">
        <f t="shared" si="8"/>
        <v>1.4171690505935017</v>
      </c>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row>
    <row r="81" spans="1:69" ht="20.25" customHeight="1">
      <c r="A81" s="188">
        <f t="shared" si="7"/>
        <v>5</v>
      </c>
      <c r="B81" s="118" t="s">
        <v>335</v>
      </c>
      <c r="C81" s="118">
        <v>5</v>
      </c>
      <c r="D81" s="120">
        <v>2007</v>
      </c>
      <c r="E81" s="129">
        <v>25000000</v>
      </c>
      <c r="F81" s="118">
        <v>1.71</v>
      </c>
      <c r="G81" s="103">
        <f>E81*F81</f>
        <v>42750000</v>
      </c>
      <c r="H81" s="122">
        <f>G81</f>
        <v>42750000</v>
      </c>
      <c r="I81" s="123">
        <f>AB107</f>
        <v>1.3336139747492377</v>
      </c>
      <c r="J81" s="19">
        <f t="shared" si="9"/>
        <v>57011997.42052991</v>
      </c>
      <c r="K81" s="124">
        <v>39196</v>
      </c>
      <c r="L81" s="125">
        <v>39233</v>
      </c>
      <c r="M81" s="124">
        <v>39283</v>
      </c>
      <c r="N81" s="104" t="s">
        <v>195</v>
      </c>
      <c r="O81" s="118">
        <f>M81-K81</f>
        <v>87</v>
      </c>
      <c r="P81" s="118"/>
      <c r="Q81" s="118"/>
      <c r="R81" s="124"/>
      <c r="S81" s="127"/>
      <c r="T81" s="118"/>
      <c r="U81" s="119"/>
      <c r="V81" s="128"/>
      <c r="W81" s="128"/>
      <c r="X81" s="128"/>
      <c r="Y81" s="130">
        <v>38384</v>
      </c>
      <c r="Z81" s="15">
        <v>0.3</v>
      </c>
      <c r="AA81" s="10">
        <f t="shared" si="6"/>
        <v>1.003</v>
      </c>
      <c r="AB81">
        <f t="shared" si="8"/>
        <v>1.4116635626989757</v>
      </c>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row>
    <row r="82" spans="1:69" ht="20.25" customHeight="1">
      <c r="A82" s="188">
        <f t="shared" si="7"/>
        <v>6</v>
      </c>
      <c r="B82" s="118" t="s">
        <v>335</v>
      </c>
      <c r="C82" s="118">
        <v>6</v>
      </c>
      <c r="D82" s="131">
        <v>2007</v>
      </c>
      <c r="G82" s="103">
        <v>2490000</v>
      </c>
      <c r="H82" s="122">
        <f>G82</f>
        <v>2490000</v>
      </c>
      <c r="I82" s="123">
        <f>AB108</f>
        <v>1.3330807424522568</v>
      </c>
      <c r="J82" s="19">
        <f t="shared" si="9"/>
        <v>3319371.0487061194</v>
      </c>
      <c r="K82" s="124">
        <v>39212</v>
      </c>
      <c r="L82" s="125">
        <v>39392</v>
      </c>
      <c r="M82" s="124"/>
      <c r="N82" s="104" t="s">
        <v>101</v>
      </c>
      <c r="O82" s="118"/>
      <c r="P82" s="118" t="s">
        <v>345</v>
      </c>
      <c r="Q82" s="118" t="s">
        <v>344</v>
      </c>
      <c r="R82" s="134">
        <v>40841</v>
      </c>
      <c r="S82" s="104" t="s">
        <v>349</v>
      </c>
      <c r="T82" s="119" t="s">
        <v>350</v>
      </c>
      <c r="U82" s="119" t="s">
        <v>351</v>
      </c>
      <c r="V82" s="128"/>
      <c r="W82" s="128"/>
      <c r="X82" s="128"/>
      <c r="Y82" s="130">
        <v>38412</v>
      </c>
      <c r="Z82" s="15">
        <v>0.85</v>
      </c>
      <c r="AA82" s="10">
        <f t="shared" si="6"/>
        <v>1.0085</v>
      </c>
      <c r="AB82">
        <f t="shared" si="8"/>
        <v>1.4074412389820299</v>
      </c>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row>
    <row r="83" spans="1:69" ht="20.25" customHeight="1">
      <c r="A83" s="188">
        <f t="shared" si="7"/>
        <v>7</v>
      </c>
      <c r="B83" s="118" t="s">
        <v>335</v>
      </c>
      <c r="C83" s="118">
        <v>7</v>
      </c>
      <c r="D83" s="120">
        <v>2007</v>
      </c>
      <c r="H83" s="122"/>
      <c r="I83" s="123">
        <f>AB110</f>
        <v>1.3196154915457632</v>
      </c>
      <c r="J83" s="19">
        <f t="shared" si="9"/>
        <v>0</v>
      </c>
      <c r="K83" s="124">
        <v>39290</v>
      </c>
      <c r="L83" s="125">
        <v>39345</v>
      </c>
      <c r="M83" s="124">
        <v>39690</v>
      </c>
      <c r="N83" s="104" t="s">
        <v>195</v>
      </c>
      <c r="O83" s="118">
        <f>M83-K83</f>
        <v>400</v>
      </c>
      <c r="P83" s="118"/>
      <c r="Q83" s="118"/>
      <c r="R83" s="124"/>
      <c r="S83" s="127"/>
      <c r="T83" s="118"/>
      <c r="U83" s="119"/>
      <c r="V83" s="128"/>
      <c r="W83" s="128"/>
      <c r="X83" s="128"/>
      <c r="Y83" s="130">
        <v>38443</v>
      </c>
      <c r="Z83" s="15">
        <v>0.86</v>
      </c>
      <c r="AA83" s="10">
        <f t="shared" si="6"/>
        <v>1.0086</v>
      </c>
      <c r="AB83">
        <f t="shared" si="8"/>
        <v>1.3955788190203569</v>
      </c>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row>
    <row r="84" spans="1:69" ht="20.25" customHeight="1">
      <c r="A84" s="188">
        <f t="shared" si="7"/>
        <v>8</v>
      </c>
      <c r="B84" s="118" t="s">
        <v>335</v>
      </c>
      <c r="C84" s="118">
        <v>8</v>
      </c>
      <c r="D84" s="120">
        <v>2007</v>
      </c>
      <c r="E84" s="129">
        <v>418338</v>
      </c>
      <c r="F84" s="118">
        <v>1.71</v>
      </c>
      <c r="G84" s="103">
        <v>498200</v>
      </c>
      <c r="H84" s="122">
        <v>498200</v>
      </c>
      <c r="I84" s="123">
        <f>AB111</f>
        <v>1.3159308850675742</v>
      </c>
      <c r="J84" s="19">
        <f t="shared" si="9"/>
        <v>655596.7669406654</v>
      </c>
      <c r="K84" s="124">
        <v>39296</v>
      </c>
      <c r="L84" s="125">
        <v>39330</v>
      </c>
      <c r="M84" s="124">
        <v>40074</v>
      </c>
      <c r="N84" s="104" t="s">
        <v>195</v>
      </c>
      <c r="O84" s="118">
        <f>M84-K84</f>
        <v>778</v>
      </c>
      <c r="P84" s="118"/>
      <c r="Q84" s="118"/>
      <c r="R84" s="124"/>
      <c r="S84" s="127"/>
      <c r="T84" s="118"/>
      <c r="U84" s="119"/>
      <c r="V84" s="128"/>
      <c r="W84" s="128"/>
      <c r="X84" s="128"/>
      <c r="Y84" s="130">
        <v>38473</v>
      </c>
      <c r="Z84" s="15">
        <v>-0.22</v>
      </c>
      <c r="AA84" s="10">
        <f t="shared" si="6"/>
        <v>0.9978</v>
      </c>
      <c r="AB84">
        <f t="shared" si="8"/>
        <v>1.3836791780887934</v>
      </c>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row>
    <row r="85" spans="1:69" ht="20.25" customHeight="1">
      <c r="A85" s="188">
        <f t="shared" si="7"/>
        <v>9</v>
      </c>
      <c r="B85" s="118" t="s">
        <v>335</v>
      </c>
      <c r="C85" s="118">
        <v>9</v>
      </c>
      <c r="D85" s="131">
        <v>2007</v>
      </c>
      <c r="G85" s="103">
        <v>16500000</v>
      </c>
      <c r="H85" s="122">
        <v>16500000</v>
      </c>
      <c r="I85" s="123">
        <f>AB111</f>
        <v>1.3159308850675742</v>
      </c>
      <c r="J85" s="19">
        <f t="shared" si="9"/>
        <v>21712859.603614975</v>
      </c>
      <c r="K85" s="124">
        <v>39300</v>
      </c>
      <c r="L85" s="125">
        <v>39398</v>
      </c>
      <c r="M85" s="124">
        <v>40585</v>
      </c>
      <c r="N85" s="104" t="s">
        <v>195</v>
      </c>
      <c r="O85" s="118"/>
      <c r="P85" s="118" t="s">
        <v>344</v>
      </c>
      <c r="Q85" s="118" t="s">
        <v>345</v>
      </c>
      <c r="R85" s="124"/>
      <c r="S85" s="104"/>
      <c r="T85" s="119"/>
      <c r="U85" s="119"/>
      <c r="V85" s="128"/>
      <c r="W85" s="128"/>
      <c r="X85" s="128"/>
      <c r="Y85" s="130">
        <v>38504</v>
      </c>
      <c r="Z85" s="15">
        <v>-0.44</v>
      </c>
      <c r="AA85" s="10">
        <f t="shared" si="6"/>
        <v>0.9956</v>
      </c>
      <c r="AB85">
        <f t="shared" si="8"/>
        <v>1.3867299840537115</v>
      </c>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row>
    <row r="86" spans="1:69" ht="20.25" customHeight="1">
      <c r="A86" s="188">
        <f t="shared" si="7"/>
        <v>10</v>
      </c>
      <c r="B86" s="118" t="s">
        <v>335</v>
      </c>
      <c r="C86" s="118">
        <v>10</v>
      </c>
      <c r="D86" s="120">
        <v>2007</v>
      </c>
      <c r="G86" s="103">
        <v>5000000</v>
      </c>
      <c r="H86" s="122">
        <f>G86</f>
        <v>5000000</v>
      </c>
      <c r="I86" s="123">
        <f>AB112</f>
        <v>1.3031599178724245</v>
      </c>
      <c r="J86" s="19">
        <f t="shared" si="9"/>
        <v>6515799.589362122</v>
      </c>
      <c r="K86" s="124">
        <v>39351</v>
      </c>
      <c r="L86" s="125">
        <v>39423</v>
      </c>
      <c r="M86" s="124">
        <v>39575</v>
      </c>
      <c r="N86" s="104" t="s">
        <v>195</v>
      </c>
      <c r="O86" s="118">
        <f aca="true" t="shared" si="10" ref="O86:O92">M86-K86</f>
        <v>224</v>
      </c>
      <c r="P86" s="118"/>
      <c r="Q86" s="118"/>
      <c r="R86" s="124"/>
      <c r="S86" s="127"/>
      <c r="T86" s="118"/>
      <c r="U86" s="119"/>
      <c r="V86" s="128"/>
      <c r="W86" s="128"/>
      <c r="X86" s="128"/>
      <c r="Y86" s="130">
        <v>38534</v>
      </c>
      <c r="Z86" s="15">
        <v>-0.34</v>
      </c>
      <c r="AA86" s="10">
        <f t="shared" si="6"/>
        <v>0.9966</v>
      </c>
      <c r="AB86">
        <f t="shared" si="8"/>
        <v>1.3928585617253029</v>
      </c>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row>
    <row r="87" spans="1:69" ht="20.25" customHeight="1">
      <c r="A87" s="188">
        <f t="shared" si="7"/>
        <v>11</v>
      </c>
      <c r="B87" s="118" t="s">
        <v>335</v>
      </c>
      <c r="C87" s="118">
        <v>11</v>
      </c>
      <c r="D87" s="120">
        <v>2007</v>
      </c>
      <c r="H87" s="122"/>
      <c r="I87" s="123">
        <f>AB112</f>
        <v>1.3031599178724245</v>
      </c>
      <c r="J87" s="19">
        <f t="shared" si="9"/>
        <v>0</v>
      </c>
      <c r="K87" s="124">
        <v>39352</v>
      </c>
      <c r="L87" s="125">
        <v>39430</v>
      </c>
      <c r="M87" s="124">
        <v>39861</v>
      </c>
      <c r="N87" s="104" t="s">
        <v>195</v>
      </c>
      <c r="O87" s="118">
        <f t="shared" si="10"/>
        <v>509</v>
      </c>
      <c r="P87" s="118"/>
      <c r="Q87" s="118"/>
      <c r="R87" s="124"/>
      <c r="S87" s="127"/>
      <c r="T87" s="118"/>
      <c r="U87" s="119"/>
      <c r="V87" s="128"/>
      <c r="W87" s="128"/>
      <c r="X87" s="128"/>
      <c r="Y87" s="12">
        <v>38565</v>
      </c>
      <c r="Z87" s="15">
        <v>-0.65</v>
      </c>
      <c r="AA87" s="10">
        <f t="shared" si="6"/>
        <v>0.9935</v>
      </c>
      <c r="AB87">
        <f t="shared" si="8"/>
        <v>1.397610437211823</v>
      </c>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row>
    <row r="88" spans="1:69" ht="20.25" customHeight="1">
      <c r="A88" s="188">
        <f t="shared" si="7"/>
        <v>12</v>
      </c>
      <c r="B88" s="118" t="s">
        <v>335</v>
      </c>
      <c r="C88" s="118">
        <v>12</v>
      </c>
      <c r="D88" s="120">
        <v>2007</v>
      </c>
      <c r="G88" s="103">
        <v>80000000</v>
      </c>
      <c r="H88" s="122">
        <f>G88</f>
        <v>80000000</v>
      </c>
      <c r="I88" s="123">
        <f>AB112</f>
        <v>1.3031599178724245</v>
      </c>
      <c r="J88" s="19">
        <f t="shared" si="9"/>
        <v>104252793.42979395</v>
      </c>
      <c r="K88" s="124">
        <v>39351</v>
      </c>
      <c r="L88" s="125">
        <v>39407</v>
      </c>
      <c r="M88" s="124">
        <v>39843</v>
      </c>
      <c r="N88" s="104" t="s">
        <v>195</v>
      </c>
      <c r="O88" s="118">
        <f t="shared" si="10"/>
        <v>492</v>
      </c>
      <c r="P88" s="118"/>
      <c r="Q88" s="118"/>
      <c r="R88" s="124"/>
      <c r="S88" s="127"/>
      <c r="T88" s="118"/>
      <c r="U88" s="119"/>
      <c r="V88" s="128"/>
      <c r="W88" s="128"/>
      <c r="X88" s="128"/>
      <c r="Y88" s="12">
        <v>38596</v>
      </c>
      <c r="Z88" s="15">
        <v>-0.53</v>
      </c>
      <c r="AA88" s="10">
        <f t="shared" si="6"/>
        <v>0.9947</v>
      </c>
      <c r="AB88">
        <f t="shared" si="8"/>
        <v>1.4067543404245828</v>
      </c>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row>
    <row r="89" spans="1:69" ht="20.25" customHeight="1">
      <c r="A89" s="188">
        <f t="shared" si="7"/>
        <v>13</v>
      </c>
      <c r="B89" s="118" t="s">
        <v>335</v>
      </c>
      <c r="C89" s="118">
        <v>13</v>
      </c>
      <c r="D89" s="120">
        <v>2007</v>
      </c>
      <c r="H89" s="122"/>
      <c r="I89" s="123">
        <f>AB107</f>
        <v>1.3336139747492377</v>
      </c>
      <c r="J89" s="19">
        <f t="shared" si="9"/>
        <v>0</v>
      </c>
      <c r="K89" s="124">
        <v>39176</v>
      </c>
      <c r="L89" s="125">
        <v>39206</v>
      </c>
      <c r="M89" s="124">
        <v>39379</v>
      </c>
      <c r="N89" s="104" t="s">
        <v>195</v>
      </c>
      <c r="O89" s="118">
        <f t="shared" si="10"/>
        <v>203</v>
      </c>
      <c r="P89" s="118"/>
      <c r="Q89" s="118"/>
      <c r="R89" s="124"/>
      <c r="S89" s="127"/>
      <c r="T89" s="118"/>
      <c r="U89" s="119"/>
      <c r="V89" s="128"/>
      <c r="W89" s="128"/>
      <c r="X89" s="128"/>
      <c r="Y89" s="130">
        <v>38626</v>
      </c>
      <c r="Z89" s="15">
        <v>0.6</v>
      </c>
      <c r="AA89" s="10">
        <f t="shared" si="6"/>
        <v>1.006</v>
      </c>
      <c r="AB89">
        <f t="shared" si="8"/>
        <v>1.4142498647075328</v>
      </c>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row>
    <row r="90" spans="1:69" ht="20.25" customHeight="1">
      <c r="A90" s="188">
        <f t="shared" si="7"/>
        <v>14</v>
      </c>
      <c r="B90" s="118" t="s">
        <v>335</v>
      </c>
      <c r="C90" s="118">
        <v>14</v>
      </c>
      <c r="D90" s="120">
        <v>2007</v>
      </c>
      <c r="H90" s="122"/>
      <c r="I90" s="123">
        <f>AB107</f>
        <v>1.3336139747492377</v>
      </c>
      <c r="J90" s="19">
        <f t="shared" si="9"/>
        <v>0</v>
      </c>
      <c r="K90" s="124">
        <v>39176</v>
      </c>
      <c r="L90" s="125"/>
      <c r="M90" s="124">
        <v>39392</v>
      </c>
      <c r="N90" s="104" t="s">
        <v>195</v>
      </c>
      <c r="O90" s="118">
        <f t="shared" si="10"/>
        <v>216</v>
      </c>
      <c r="P90" s="118"/>
      <c r="Q90" s="118"/>
      <c r="R90" s="124"/>
      <c r="S90" s="127"/>
      <c r="T90" s="118"/>
      <c r="U90" s="119"/>
      <c r="V90" s="128"/>
      <c r="W90" s="128"/>
      <c r="X90" s="128"/>
      <c r="Y90" s="12">
        <v>38657</v>
      </c>
      <c r="Z90" s="15">
        <v>0.4</v>
      </c>
      <c r="AA90" s="10">
        <f t="shared" si="6"/>
        <v>1.004</v>
      </c>
      <c r="AB90">
        <f t="shared" si="8"/>
        <v>1.4058149748583826</v>
      </c>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row>
    <row r="91" spans="1:69" ht="20.25" customHeight="1">
      <c r="A91" s="188">
        <f t="shared" si="7"/>
        <v>15</v>
      </c>
      <c r="B91" s="118" t="s">
        <v>335</v>
      </c>
      <c r="C91" s="118">
        <v>15</v>
      </c>
      <c r="D91" s="131">
        <v>2007</v>
      </c>
      <c r="G91" s="103">
        <v>2000000</v>
      </c>
      <c r="H91" s="122">
        <f>G91</f>
        <v>2000000</v>
      </c>
      <c r="I91" s="123">
        <f>AB114</f>
        <v>1.2731947074939365</v>
      </c>
      <c r="J91" s="19">
        <f t="shared" si="9"/>
        <v>2546389.414987873</v>
      </c>
      <c r="K91" s="124">
        <v>39387</v>
      </c>
      <c r="L91" s="125"/>
      <c r="M91" s="124">
        <v>39496</v>
      </c>
      <c r="N91" s="104" t="s">
        <v>183</v>
      </c>
      <c r="O91" s="118">
        <f t="shared" si="10"/>
        <v>109</v>
      </c>
      <c r="P91" s="118"/>
      <c r="Q91" s="118"/>
      <c r="R91" s="124"/>
      <c r="S91" s="127"/>
      <c r="T91" s="118"/>
      <c r="U91" s="119"/>
      <c r="V91" s="128"/>
      <c r="W91" s="128"/>
      <c r="X91" s="128"/>
      <c r="Y91" s="130">
        <v>38687</v>
      </c>
      <c r="Z91" s="15">
        <v>-0.01</v>
      </c>
      <c r="AA91" s="10">
        <f t="shared" si="6"/>
        <v>0.9999</v>
      </c>
      <c r="AB91">
        <f t="shared" si="8"/>
        <v>1.400214118384843</v>
      </c>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row>
    <row r="92" spans="1:69" ht="20.25" customHeight="1">
      <c r="A92" s="188">
        <f t="shared" si="7"/>
        <v>16</v>
      </c>
      <c r="B92" s="118" t="s">
        <v>335</v>
      </c>
      <c r="C92" s="118">
        <v>16</v>
      </c>
      <c r="D92" s="120">
        <v>2007</v>
      </c>
      <c r="G92" s="103">
        <v>30000000</v>
      </c>
      <c r="H92" s="122">
        <f>G92</f>
        <v>30000000</v>
      </c>
      <c r="I92" s="123">
        <f>AB108</f>
        <v>1.3330807424522568</v>
      </c>
      <c r="J92" s="19">
        <f t="shared" si="9"/>
        <v>39992422.27356771</v>
      </c>
      <c r="K92" s="124">
        <v>39222</v>
      </c>
      <c r="L92" s="125">
        <v>39413</v>
      </c>
      <c r="M92" s="124">
        <v>39860</v>
      </c>
      <c r="N92" s="104" t="s">
        <v>195</v>
      </c>
      <c r="O92" s="118">
        <f t="shared" si="10"/>
        <v>638</v>
      </c>
      <c r="P92" s="118"/>
      <c r="Q92" s="118"/>
      <c r="R92" s="124"/>
      <c r="S92" s="127"/>
      <c r="T92" s="118"/>
      <c r="U92" s="104"/>
      <c r="V92" s="128"/>
      <c r="W92" s="128"/>
      <c r="X92" s="128"/>
      <c r="Y92" s="130">
        <v>38718</v>
      </c>
      <c r="Z92" s="15">
        <v>0.92</v>
      </c>
      <c r="AA92" s="10">
        <f t="shared" si="6"/>
        <v>1.0092</v>
      </c>
      <c r="AB92">
        <f t="shared" si="8"/>
        <v>1.400354153800223</v>
      </c>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row>
    <row r="93" spans="1:69" ht="20.25" customHeight="1">
      <c r="A93" s="188">
        <f t="shared" si="7"/>
        <v>17</v>
      </c>
      <c r="B93" s="118" t="s">
        <v>335</v>
      </c>
      <c r="C93" s="118">
        <v>17</v>
      </c>
      <c r="D93" s="131">
        <v>2007</v>
      </c>
      <c r="G93" s="103">
        <v>3500000</v>
      </c>
      <c r="H93" s="122">
        <v>3500000</v>
      </c>
      <c r="I93" s="123">
        <f>AB114</f>
        <v>1.2731947074939365</v>
      </c>
      <c r="J93" s="19">
        <f t="shared" si="9"/>
        <v>4456181.476228777</v>
      </c>
      <c r="K93" s="124">
        <v>39413</v>
      </c>
      <c r="L93" s="125">
        <v>39500</v>
      </c>
      <c r="M93" s="124"/>
      <c r="N93" s="104" t="s">
        <v>101</v>
      </c>
      <c r="O93" s="118"/>
      <c r="P93" s="118" t="s">
        <v>344</v>
      </c>
      <c r="Q93" s="118" t="s">
        <v>345</v>
      </c>
      <c r="R93" s="124">
        <v>40848</v>
      </c>
      <c r="S93" s="127" t="s">
        <v>346</v>
      </c>
      <c r="T93" s="119" t="s">
        <v>352</v>
      </c>
      <c r="U93" s="119" t="s">
        <v>353</v>
      </c>
      <c r="V93" s="128"/>
      <c r="W93" s="128"/>
      <c r="X93" s="128"/>
      <c r="Y93" s="130">
        <v>38749</v>
      </c>
      <c r="Z93" s="15">
        <v>0.01</v>
      </c>
      <c r="AA93" s="10">
        <f t="shared" si="6"/>
        <v>1.0001</v>
      </c>
      <c r="AB93">
        <f t="shared" si="8"/>
        <v>1.3875883410624485</v>
      </c>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row>
    <row r="94" spans="1:69" ht="20.25" customHeight="1">
      <c r="A94" s="188">
        <f t="shared" si="7"/>
        <v>18</v>
      </c>
      <c r="B94" s="118" t="s">
        <v>335</v>
      </c>
      <c r="C94" s="118">
        <v>18</v>
      </c>
      <c r="D94" s="131">
        <v>2007</v>
      </c>
      <c r="H94" s="122"/>
      <c r="I94" s="123">
        <f>AB115</f>
        <v>1.2644698654225213</v>
      </c>
      <c r="J94" s="19">
        <f t="shared" si="9"/>
        <v>0</v>
      </c>
      <c r="K94" s="124">
        <v>39426</v>
      </c>
      <c r="L94" s="125">
        <v>39597</v>
      </c>
      <c r="M94" s="124">
        <v>39657</v>
      </c>
      <c r="N94" s="104" t="s">
        <v>299</v>
      </c>
      <c r="O94" s="118">
        <f>M94-K94</f>
        <v>231</v>
      </c>
      <c r="P94" s="118"/>
      <c r="Q94" s="118"/>
      <c r="R94" s="124"/>
      <c r="S94" s="127"/>
      <c r="T94" s="118"/>
      <c r="U94" s="104"/>
      <c r="V94" s="128"/>
      <c r="W94" s="128"/>
      <c r="X94" s="128"/>
      <c r="Y94" s="130">
        <v>38777</v>
      </c>
      <c r="Z94" s="15">
        <v>-0.23</v>
      </c>
      <c r="AA94" s="10">
        <f t="shared" si="6"/>
        <v>0.9977</v>
      </c>
      <c r="AB94">
        <f t="shared" si="8"/>
        <v>1.3874495961028384</v>
      </c>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row>
    <row r="95" spans="1:69" ht="20.25" customHeight="1">
      <c r="A95" s="118">
        <v>1</v>
      </c>
      <c r="B95" s="118" t="s">
        <v>335</v>
      </c>
      <c r="C95" s="118">
        <v>1</v>
      </c>
      <c r="D95" s="120">
        <v>2008</v>
      </c>
      <c r="H95" s="122"/>
      <c r="I95" s="123">
        <f>AB116</f>
        <v>1.2426001035991756</v>
      </c>
      <c r="J95" s="19">
        <f t="shared" si="9"/>
        <v>0</v>
      </c>
      <c r="K95" s="124">
        <v>39468</v>
      </c>
      <c r="L95" s="125">
        <v>39510</v>
      </c>
      <c r="M95" s="124">
        <v>39685</v>
      </c>
      <c r="N95" s="104" t="s">
        <v>195</v>
      </c>
      <c r="O95" s="118">
        <f>M95-K95</f>
        <v>217</v>
      </c>
      <c r="P95" s="118"/>
      <c r="Q95" s="118"/>
      <c r="R95" s="124"/>
      <c r="S95" s="127"/>
      <c r="T95" s="118"/>
      <c r="U95" s="119"/>
      <c r="V95" s="128"/>
      <c r="W95" s="128"/>
      <c r="X95" s="128"/>
      <c r="Y95" s="130">
        <v>38808</v>
      </c>
      <c r="Z95" s="15">
        <v>-0.42</v>
      </c>
      <c r="AA95" s="10">
        <f t="shared" si="6"/>
        <v>0.9958</v>
      </c>
      <c r="AB95">
        <f t="shared" si="8"/>
        <v>1.3906480867022535</v>
      </c>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row>
    <row r="96" spans="1:69" ht="20.25" customHeight="1">
      <c r="A96" s="118">
        <f t="shared" si="7"/>
        <v>2</v>
      </c>
      <c r="B96" s="118" t="s">
        <v>335</v>
      </c>
      <c r="C96" s="118">
        <v>2</v>
      </c>
      <c r="D96" s="131">
        <v>2008</v>
      </c>
      <c r="G96" s="103">
        <v>8245050</v>
      </c>
      <c r="H96" s="122">
        <v>8245050</v>
      </c>
      <c r="I96" s="123">
        <f>AB116</f>
        <v>1.2426001035991756</v>
      </c>
      <c r="J96" s="19">
        <f t="shared" si="9"/>
        <v>10245299.984180383</v>
      </c>
      <c r="K96" s="124">
        <v>39475</v>
      </c>
      <c r="L96" s="125">
        <v>39533</v>
      </c>
      <c r="M96" s="124"/>
      <c r="N96" s="104" t="s">
        <v>101</v>
      </c>
      <c r="O96" s="118"/>
      <c r="P96" s="118" t="s">
        <v>344</v>
      </c>
      <c r="Q96" s="118" t="s">
        <v>345</v>
      </c>
      <c r="R96" s="135">
        <v>40848</v>
      </c>
      <c r="S96" s="104" t="s">
        <v>346</v>
      </c>
      <c r="T96" s="119" t="s">
        <v>354</v>
      </c>
      <c r="U96" s="119" t="s">
        <v>353</v>
      </c>
      <c r="V96" s="128"/>
      <c r="W96" s="128"/>
      <c r="X96" s="128"/>
      <c r="Y96" s="130">
        <v>38838</v>
      </c>
      <c r="Z96" s="15">
        <v>0.38</v>
      </c>
      <c r="AA96" s="10">
        <f t="shared" si="6"/>
        <v>1.0038</v>
      </c>
      <c r="AB96">
        <f t="shared" si="8"/>
        <v>1.3965134431635404</v>
      </c>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row>
    <row r="97" spans="1:69" ht="20.25" customHeight="1">
      <c r="A97" s="118">
        <f t="shared" si="7"/>
        <v>3</v>
      </c>
      <c r="B97" s="118" t="s">
        <v>335</v>
      </c>
      <c r="C97" s="118">
        <v>3</v>
      </c>
      <c r="D97" s="131">
        <v>2008</v>
      </c>
      <c r="H97" s="122"/>
      <c r="I97" s="123">
        <f>AB117</f>
        <v>1.2292018039362704</v>
      </c>
      <c r="J97" s="19">
        <f t="shared" si="9"/>
        <v>0</v>
      </c>
      <c r="K97" s="124">
        <v>39497</v>
      </c>
      <c r="L97" s="125">
        <v>39617</v>
      </c>
      <c r="M97" s="124"/>
      <c r="N97" s="104" t="s">
        <v>204</v>
      </c>
      <c r="O97" s="118"/>
      <c r="P97" s="118" t="s">
        <v>344</v>
      </c>
      <c r="Q97" s="118" t="s">
        <v>345</v>
      </c>
      <c r="R97" s="124">
        <v>40827</v>
      </c>
      <c r="S97" s="104" t="s">
        <v>355</v>
      </c>
      <c r="T97" s="119" t="s">
        <v>356</v>
      </c>
      <c r="U97" s="119" t="s">
        <v>353</v>
      </c>
      <c r="V97" s="128"/>
      <c r="W97" s="128"/>
      <c r="X97" s="128"/>
      <c r="Y97" s="12">
        <v>38869</v>
      </c>
      <c r="Z97" s="15">
        <v>0.75</v>
      </c>
      <c r="AA97" s="10">
        <f t="shared" si="6"/>
        <v>1.0075</v>
      </c>
      <c r="AB97">
        <f t="shared" si="8"/>
        <v>1.3912267813942423</v>
      </c>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row>
    <row r="98" spans="1:69" ht="20.25" customHeight="1">
      <c r="A98" s="118">
        <f t="shared" si="7"/>
        <v>4</v>
      </c>
      <c r="B98" s="118" t="s">
        <v>335</v>
      </c>
      <c r="C98" s="118">
        <v>4</v>
      </c>
      <c r="D98" s="131">
        <v>2008</v>
      </c>
      <c r="G98" s="103">
        <v>8000000</v>
      </c>
      <c r="H98" s="122">
        <f>G98</f>
        <v>8000000</v>
      </c>
      <c r="I98" s="123">
        <f>AB118</f>
        <v>1.2227213806189896</v>
      </c>
      <c r="J98" s="19">
        <f t="shared" si="9"/>
        <v>9781771.044951918</v>
      </c>
      <c r="K98" s="124">
        <v>39518</v>
      </c>
      <c r="L98" s="125">
        <v>39588</v>
      </c>
      <c r="M98" s="124"/>
      <c r="N98" s="104" t="s">
        <v>195</v>
      </c>
      <c r="O98" s="118"/>
      <c r="P98" s="118" t="s">
        <v>345</v>
      </c>
      <c r="Q98" s="118" t="s">
        <v>344</v>
      </c>
      <c r="R98" s="124">
        <v>40840</v>
      </c>
      <c r="S98" s="104" t="s">
        <v>355</v>
      </c>
      <c r="T98" s="119" t="s">
        <v>357</v>
      </c>
      <c r="U98" s="119" t="s">
        <v>353</v>
      </c>
      <c r="V98" s="128"/>
      <c r="W98" s="128"/>
      <c r="X98" s="128"/>
      <c r="Y98" s="130">
        <v>38899</v>
      </c>
      <c r="Z98" s="15">
        <v>0.18</v>
      </c>
      <c r="AA98" s="10">
        <f t="shared" si="6"/>
        <v>1.0018</v>
      </c>
      <c r="AB98">
        <f t="shared" si="8"/>
        <v>1.3808702544856002</v>
      </c>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row>
    <row r="99" spans="1:69" ht="20.25" customHeight="1">
      <c r="A99" s="118">
        <f t="shared" si="7"/>
        <v>5</v>
      </c>
      <c r="B99" s="118" t="s">
        <v>335</v>
      </c>
      <c r="C99" s="118">
        <v>5</v>
      </c>
      <c r="D99" s="131">
        <v>2008</v>
      </c>
      <c r="G99" s="103">
        <v>22224320</v>
      </c>
      <c r="H99" s="122">
        <v>22224320</v>
      </c>
      <c r="I99" s="123">
        <f>AB118</f>
        <v>1.2227213806189896</v>
      </c>
      <c r="J99" s="19">
        <f t="shared" si="9"/>
        <v>27174151.233718224</v>
      </c>
      <c r="K99" s="124">
        <v>39525</v>
      </c>
      <c r="L99" s="125">
        <v>39574</v>
      </c>
      <c r="M99" s="124"/>
      <c r="N99" s="104" t="s">
        <v>101</v>
      </c>
      <c r="O99" s="118"/>
      <c r="P99" s="118" t="s">
        <v>344</v>
      </c>
      <c r="Q99" s="118" t="s">
        <v>345</v>
      </c>
      <c r="R99" s="124">
        <v>40840</v>
      </c>
      <c r="S99" s="104" t="s">
        <v>355</v>
      </c>
      <c r="T99" s="119" t="s">
        <v>357</v>
      </c>
      <c r="U99" s="119" t="s">
        <v>353</v>
      </c>
      <c r="V99" s="128"/>
      <c r="W99" s="128"/>
      <c r="X99" s="128"/>
      <c r="Y99" s="130">
        <v>38930</v>
      </c>
      <c r="Z99" s="15">
        <v>0.37</v>
      </c>
      <c r="AA99" s="10">
        <f t="shared" si="6"/>
        <v>1.0037</v>
      </c>
      <c r="AB99">
        <f t="shared" si="8"/>
        <v>1.378389154008385</v>
      </c>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row>
    <row r="100" spans="1:69" ht="20.25" customHeight="1">
      <c r="A100" s="118">
        <f t="shared" si="7"/>
        <v>6</v>
      </c>
      <c r="B100" s="118" t="s">
        <v>335</v>
      </c>
      <c r="C100" s="118">
        <v>6</v>
      </c>
      <c r="D100" s="131">
        <v>2008</v>
      </c>
      <c r="G100" s="103">
        <v>4652485.9</v>
      </c>
      <c r="H100" s="122">
        <v>4652485.9</v>
      </c>
      <c r="I100" s="123">
        <f>AB118</f>
        <v>1.2227213806189896</v>
      </c>
      <c r="J100" s="19">
        <f t="shared" si="9"/>
        <v>5688693.982958383</v>
      </c>
      <c r="K100" s="124">
        <v>39527</v>
      </c>
      <c r="L100" s="125">
        <v>39589</v>
      </c>
      <c r="M100" s="124"/>
      <c r="N100" s="104" t="s">
        <v>101</v>
      </c>
      <c r="O100" s="118"/>
      <c r="P100" s="118" t="s">
        <v>344</v>
      </c>
      <c r="Q100" s="118" t="s">
        <v>345</v>
      </c>
      <c r="R100" s="124">
        <v>40850</v>
      </c>
      <c r="S100" s="104" t="s">
        <v>358</v>
      </c>
      <c r="T100" s="119" t="s">
        <v>359</v>
      </c>
      <c r="U100" s="119" t="s">
        <v>353</v>
      </c>
      <c r="V100" s="128"/>
      <c r="W100" s="128"/>
      <c r="X100" s="128"/>
      <c r="Y100" s="130">
        <v>38961</v>
      </c>
      <c r="Z100" s="15">
        <v>0.29</v>
      </c>
      <c r="AA100" s="10">
        <f t="shared" si="6"/>
        <v>1.0029</v>
      </c>
      <c r="AB100">
        <f t="shared" si="8"/>
        <v>1.3733079147239065</v>
      </c>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row>
    <row r="101" spans="1:69" ht="20.25" customHeight="1">
      <c r="A101" s="118">
        <f t="shared" si="7"/>
        <v>7</v>
      </c>
      <c r="B101" s="118" t="s">
        <v>335</v>
      </c>
      <c r="C101" s="118">
        <v>7</v>
      </c>
      <c r="D101" s="120">
        <v>2008</v>
      </c>
      <c r="G101" s="103">
        <v>935977.5</v>
      </c>
      <c r="H101" s="122">
        <f>G101</f>
        <v>935977.5</v>
      </c>
      <c r="I101" s="123">
        <f>AB119</f>
        <v>1.2216219208901886</v>
      </c>
      <c r="J101" s="19">
        <f t="shared" si="9"/>
        <v>1143410.6314599966</v>
      </c>
      <c r="K101" s="124">
        <v>39568</v>
      </c>
      <c r="L101" s="125">
        <v>39626</v>
      </c>
      <c r="M101" s="124">
        <v>39850</v>
      </c>
      <c r="N101" s="104" t="s">
        <v>195</v>
      </c>
      <c r="O101" s="118">
        <f>M101-K101</f>
        <v>282</v>
      </c>
      <c r="P101" s="118"/>
      <c r="Q101" s="118"/>
      <c r="R101" s="124"/>
      <c r="S101" s="127"/>
      <c r="T101" s="118"/>
      <c r="U101" s="119"/>
      <c r="V101" s="128"/>
      <c r="W101" s="128"/>
      <c r="X101" s="128"/>
      <c r="Y101" s="130">
        <v>38991</v>
      </c>
      <c r="Z101" s="15">
        <v>0.47</v>
      </c>
      <c r="AA101" s="10">
        <f t="shared" si="6"/>
        <v>1.0047</v>
      </c>
      <c r="AB101">
        <f t="shared" si="8"/>
        <v>1.3693368378940138</v>
      </c>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row>
    <row r="102" spans="1:69" ht="20.25" customHeight="1">
      <c r="A102" s="118">
        <f t="shared" si="7"/>
        <v>8</v>
      </c>
      <c r="B102" s="118" t="s">
        <v>335</v>
      </c>
      <c r="C102" s="118">
        <v>8</v>
      </c>
      <c r="D102" s="120">
        <v>2008</v>
      </c>
      <c r="G102" s="103">
        <v>19500000</v>
      </c>
      <c r="H102" s="122">
        <f>G102</f>
        <v>19500000</v>
      </c>
      <c r="I102" s="123">
        <f>AB120</f>
        <v>1.213250492491994</v>
      </c>
      <c r="J102" s="19">
        <f t="shared" si="9"/>
        <v>23658384.603593882</v>
      </c>
      <c r="K102" s="124">
        <v>39580</v>
      </c>
      <c r="L102" s="125">
        <v>39624</v>
      </c>
      <c r="M102" s="124">
        <v>40169</v>
      </c>
      <c r="N102" s="104" t="s">
        <v>195</v>
      </c>
      <c r="O102" s="118">
        <f>M102-K102</f>
        <v>589</v>
      </c>
      <c r="P102" s="118"/>
      <c r="Q102" s="118"/>
      <c r="R102" s="124"/>
      <c r="S102" s="127"/>
      <c r="T102" s="118"/>
      <c r="U102" s="118"/>
      <c r="V102" s="128"/>
      <c r="W102" s="128"/>
      <c r="X102" s="128"/>
      <c r="Y102" s="130">
        <v>39022</v>
      </c>
      <c r="Z102" s="15">
        <v>0.75</v>
      </c>
      <c r="AA102" s="10">
        <f t="shared" si="6"/>
        <v>1.0075</v>
      </c>
      <c r="AB102">
        <f t="shared" si="8"/>
        <v>1.3629310619030695</v>
      </c>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row>
    <row r="103" spans="1:69" ht="20.25" customHeight="1">
      <c r="A103" s="118">
        <f t="shared" si="7"/>
        <v>9</v>
      </c>
      <c r="B103" s="118" t="s">
        <v>335</v>
      </c>
      <c r="C103" s="118">
        <v>9</v>
      </c>
      <c r="D103" s="120">
        <v>2008</v>
      </c>
      <c r="G103" s="103">
        <v>15000000</v>
      </c>
      <c r="H103" s="122">
        <f>G103</f>
        <v>15000000</v>
      </c>
      <c r="I103" s="123">
        <f>AB120</f>
        <v>1.213250492491994</v>
      </c>
      <c r="J103" s="19">
        <f t="shared" si="9"/>
        <v>18198757.38737991</v>
      </c>
      <c r="K103" s="124">
        <v>39584</v>
      </c>
      <c r="L103" s="125">
        <v>39694</v>
      </c>
      <c r="M103" s="124">
        <v>40399</v>
      </c>
      <c r="N103" s="104" t="s">
        <v>195</v>
      </c>
      <c r="O103" s="118">
        <f>M103-K103</f>
        <v>815</v>
      </c>
      <c r="P103" s="118"/>
      <c r="Q103" s="118"/>
      <c r="R103" s="124"/>
      <c r="S103" s="127"/>
      <c r="T103" s="118"/>
      <c r="U103" s="119"/>
      <c r="V103" s="128"/>
      <c r="W103" s="128"/>
      <c r="X103" s="128"/>
      <c r="Y103" s="130">
        <v>39052</v>
      </c>
      <c r="Z103" s="15">
        <v>0.32</v>
      </c>
      <c r="AA103" s="10">
        <f t="shared" si="6"/>
        <v>1.0032</v>
      </c>
      <c r="AB103">
        <f t="shared" si="8"/>
        <v>1.3527851731047835</v>
      </c>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row>
    <row r="104" spans="1:69" ht="20.25" customHeight="1">
      <c r="A104" s="118">
        <f t="shared" si="7"/>
        <v>10</v>
      </c>
      <c r="B104" s="118" t="s">
        <v>335</v>
      </c>
      <c r="C104" s="118">
        <v>10</v>
      </c>
      <c r="D104" s="120">
        <v>2008</v>
      </c>
      <c r="G104" s="103">
        <v>569241.8</v>
      </c>
      <c r="H104" s="122">
        <f>G104</f>
        <v>569241.8</v>
      </c>
      <c r="I104" s="123">
        <f>AB120</f>
        <v>1.213250492491994</v>
      </c>
      <c r="J104" s="19">
        <f t="shared" si="9"/>
        <v>690632.8941970292</v>
      </c>
      <c r="K104" s="124">
        <v>39591</v>
      </c>
      <c r="L104" s="125">
        <v>39678</v>
      </c>
      <c r="M104" s="124">
        <v>39895</v>
      </c>
      <c r="N104" s="104" t="s">
        <v>195</v>
      </c>
      <c r="O104" s="118">
        <f>M104-K104</f>
        <v>304</v>
      </c>
      <c r="P104" s="118"/>
      <c r="Q104" s="118"/>
      <c r="R104" s="124"/>
      <c r="S104" s="127"/>
      <c r="T104" s="118"/>
      <c r="U104" s="119"/>
      <c r="V104" s="128"/>
      <c r="W104" s="128"/>
      <c r="X104" s="128"/>
      <c r="Y104" s="12">
        <v>39083</v>
      </c>
      <c r="Z104" s="15">
        <v>0.5</v>
      </c>
      <c r="AA104" s="10">
        <f t="shared" si="6"/>
        <v>1.005</v>
      </c>
      <c r="AB104">
        <f t="shared" si="8"/>
        <v>1.3484700688843534</v>
      </c>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row>
    <row r="105" spans="1:69" ht="20.25" customHeight="1">
      <c r="A105" s="118">
        <f t="shared" si="7"/>
        <v>11</v>
      </c>
      <c r="B105" s="118" t="s">
        <v>335</v>
      </c>
      <c r="C105" s="118">
        <v>11</v>
      </c>
      <c r="D105" s="120">
        <v>2008</v>
      </c>
      <c r="H105" s="122"/>
      <c r="I105" s="123">
        <f>AB121</f>
        <v>1.1940266632142447</v>
      </c>
      <c r="J105" s="19">
        <f t="shared" si="9"/>
        <v>0</v>
      </c>
      <c r="K105" s="124">
        <v>39622</v>
      </c>
      <c r="L105" s="125">
        <v>39672</v>
      </c>
      <c r="M105" s="124">
        <v>39911</v>
      </c>
      <c r="N105" s="104" t="s">
        <v>195</v>
      </c>
      <c r="O105" s="118">
        <f>M105-K105</f>
        <v>289</v>
      </c>
      <c r="P105" s="118"/>
      <c r="Q105" s="118"/>
      <c r="R105" s="124"/>
      <c r="S105" s="127"/>
      <c r="T105" s="118"/>
      <c r="U105" s="119"/>
      <c r="V105" s="128"/>
      <c r="W105" s="128"/>
      <c r="X105" s="128"/>
      <c r="Y105" s="130">
        <v>39114</v>
      </c>
      <c r="Z105" s="15">
        <v>0.27</v>
      </c>
      <c r="AA105" s="10">
        <f t="shared" si="6"/>
        <v>1.0027</v>
      </c>
      <c r="AB105">
        <f t="shared" si="8"/>
        <v>1.341761262571496</v>
      </c>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row>
    <row r="106" spans="1:69" ht="20.25" customHeight="1">
      <c r="A106" s="118">
        <f t="shared" si="7"/>
        <v>12</v>
      </c>
      <c r="B106" s="118" t="s">
        <v>335</v>
      </c>
      <c r="C106" s="118">
        <v>12</v>
      </c>
      <c r="D106" s="131">
        <v>2008</v>
      </c>
      <c r="G106" s="103">
        <v>330000</v>
      </c>
      <c r="H106" s="122">
        <f>G106</f>
        <v>330000</v>
      </c>
      <c r="I106" s="123">
        <f>AB122</f>
        <v>1.1708439529459156</v>
      </c>
      <c r="J106" s="19">
        <f t="shared" si="9"/>
        <v>386378.50447215216</v>
      </c>
      <c r="K106" s="124">
        <v>39631</v>
      </c>
      <c r="L106" s="125">
        <v>39679</v>
      </c>
      <c r="M106" s="124"/>
      <c r="N106" s="104" t="s">
        <v>195</v>
      </c>
      <c r="O106" s="118"/>
      <c r="P106" s="118"/>
      <c r="Q106" s="118"/>
      <c r="R106" s="124"/>
      <c r="S106" s="127"/>
      <c r="T106" s="118"/>
      <c r="U106" s="119"/>
      <c r="V106" s="128"/>
      <c r="W106" s="128"/>
      <c r="X106" s="128"/>
      <c r="Y106" s="130">
        <v>39142</v>
      </c>
      <c r="Z106" s="15">
        <v>0.34</v>
      </c>
      <c r="AA106" s="10">
        <f t="shared" si="6"/>
        <v>1.0034</v>
      </c>
      <c r="AB106">
        <f t="shared" si="8"/>
        <v>1.3381482622633851</v>
      </c>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row>
    <row r="107" spans="1:69" ht="20.25" customHeight="1">
      <c r="A107" s="118">
        <f t="shared" si="7"/>
        <v>13</v>
      </c>
      <c r="B107" s="118" t="s">
        <v>335</v>
      </c>
      <c r="C107" s="118">
        <v>13</v>
      </c>
      <c r="D107" s="131">
        <v>2008</v>
      </c>
      <c r="G107" s="103">
        <v>30625000</v>
      </c>
      <c r="H107" s="122">
        <f>G107</f>
        <v>30625000</v>
      </c>
      <c r="I107" s="123">
        <f>AB122</f>
        <v>1.1708439529459156</v>
      </c>
      <c r="J107" s="19">
        <f t="shared" si="9"/>
        <v>35857096.05896866</v>
      </c>
      <c r="K107" s="124">
        <v>39639</v>
      </c>
      <c r="L107" s="125">
        <v>39857</v>
      </c>
      <c r="M107" s="124">
        <v>40576</v>
      </c>
      <c r="N107" s="104" t="s">
        <v>195</v>
      </c>
      <c r="O107" s="118"/>
      <c r="P107" s="118" t="s">
        <v>345</v>
      </c>
      <c r="Q107" s="118" t="s">
        <v>344</v>
      </c>
      <c r="R107" s="124">
        <v>40576</v>
      </c>
      <c r="S107" s="104" t="s">
        <v>346</v>
      </c>
      <c r="T107" s="119" t="s">
        <v>360</v>
      </c>
      <c r="U107" s="119" t="s">
        <v>361</v>
      </c>
      <c r="V107" s="128"/>
      <c r="W107" s="128"/>
      <c r="X107" s="128"/>
      <c r="Y107" s="130">
        <v>39173</v>
      </c>
      <c r="Z107" s="15">
        <v>0.04</v>
      </c>
      <c r="AA107" s="10">
        <f t="shared" si="6"/>
        <v>1.0004</v>
      </c>
      <c r="AB107">
        <f t="shared" si="8"/>
        <v>1.3336139747492377</v>
      </c>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row>
    <row r="108" spans="1:69" ht="20.25" customHeight="1">
      <c r="A108" s="118">
        <f t="shared" si="7"/>
        <v>14</v>
      </c>
      <c r="B108" s="118" t="s">
        <v>335</v>
      </c>
      <c r="C108" s="118">
        <v>14</v>
      </c>
      <c r="D108" s="131">
        <v>2008</v>
      </c>
      <c r="G108" s="103">
        <v>17272000</v>
      </c>
      <c r="H108" s="122">
        <f>G108</f>
        <v>17272000</v>
      </c>
      <c r="I108" s="123">
        <f>AB122</f>
        <v>1.1708439529459156</v>
      </c>
      <c r="J108" s="19">
        <f t="shared" si="9"/>
        <v>20222816.755281854</v>
      </c>
      <c r="K108" s="124">
        <v>39639</v>
      </c>
      <c r="L108" s="125">
        <v>39857</v>
      </c>
      <c r="M108" s="124">
        <v>40576</v>
      </c>
      <c r="N108" s="104" t="s">
        <v>195</v>
      </c>
      <c r="O108" s="118"/>
      <c r="P108" s="118" t="s">
        <v>345</v>
      </c>
      <c r="Q108" s="118" t="s">
        <v>344</v>
      </c>
      <c r="R108" s="124">
        <v>40576</v>
      </c>
      <c r="S108" s="104" t="s">
        <v>346</v>
      </c>
      <c r="T108" s="119" t="s">
        <v>360</v>
      </c>
      <c r="U108" s="119" t="s">
        <v>361</v>
      </c>
      <c r="V108" s="128"/>
      <c r="W108" s="128"/>
      <c r="X108" s="128"/>
      <c r="Y108" s="130">
        <v>39203</v>
      </c>
      <c r="Z108" s="15">
        <v>0.04</v>
      </c>
      <c r="AA108" s="10">
        <f t="shared" si="6"/>
        <v>1.0004</v>
      </c>
      <c r="AB108">
        <f t="shared" si="8"/>
        <v>1.3330807424522568</v>
      </c>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row>
    <row r="109" spans="1:69" ht="20.25" customHeight="1">
      <c r="A109" s="118">
        <f t="shared" si="7"/>
        <v>15</v>
      </c>
      <c r="B109" s="118" t="s">
        <v>335</v>
      </c>
      <c r="C109" s="118">
        <v>15</v>
      </c>
      <c r="D109" s="120">
        <v>2008</v>
      </c>
      <c r="G109" s="103">
        <v>1243031.77</v>
      </c>
      <c r="H109" s="122">
        <v>1243031.77</v>
      </c>
      <c r="I109" s="123">
        <f>AB122</f>
        <v>1.1708439529459156</v>
      </c>
      <c r="J109" s="19">
        <f t="shared" si="9"/>
        <v>1455396.231224158</v>
      </c>
      <c r="K109" s="124">
        <v>39639</v>
      </c>
      <c r="L109" s="125">
        <v>39680</v>
      </c>
      <c r="M109" s="124">
        <v>40161</v>
      </c>
      <c r="N109" s="104" t="s">
        <v>195</v>
      </c>
      <c r="O109" s="118"/>
      <c r="P109" s="118"/>
      <c r="Q109" s="118"/>
      <c r="R109" s="124"/>
      <c r="S109" s="104"/>
      <c r="T109" s="119"/>
      <c r="U109" s="119"/>
      <c r="V109" s="128"/>
      <c r="W109" s="128"/>
      <c r="X109" s="128"/>
      <c r="Y109" s="12">
        <v>39234</v>
      </c>
      <c r="Z109" s="15">
        <v>0.26</v>
      </c>
      <c r="AA109" s="10">
        <v>1.0098</v>
      </c>
      <c r="AB109">
        <f t="shared" si="8"/>
        <v>1.3325477233629117</v>
      </c>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row>
    <row r="110" spans="1:69" ht="20.25" customHeight="1">
      <c r="A110" s="118">
        <f t="shared" si="7"/>
        <v>16</v>
      </c>
      <c r="B110" s="136" t="s">
        <v>335</v>
      </c>
      <c r="C110" s="136">
        <v>16</v>
      </c>
      <c r="D110" s="137">
        <v>2008</v>
      </c>
      <c r="G110" s="138">
        <v>6047000</v>
      </c>
      <c r="H110" s="139">
        <f>G110</f>
        <v>6047000</v>
      </c>
      <c r="I110" s="123">
        <f>AB122</f>
        <v>1.1708439529459156</v>
      </c>
      <c r="J110" s="19">
        <f t="shared" si="9"/>
        <v>7080093.383463952</v>
      </c>
      <c r="K110" s="106">
        <v>39653</v>
      </c>
      <c r="L110" s="140">
        <v>39728</v>
      </c>
      <c r="M110" s="106">
        <v>40533</v>
      </c>
      <c r="N110" s="104" t="s">
        <v>195</v>
      </c>
      <c r="O110" s="136"/>
      <c r="P110" s="136" t="s">
        <v>345</v>
      </c>
      <c r="Q110" s="136" t="s">
        <v>344</v>
      </c>
      <c r="R110" s="141"/>
      <c r="S110" s="104" t="s">
        <v>355</v>
      </c>
      <c r="T110" s="104" t="s">
        <v>362</v>
      </c>
      <c r="U110" s="119"/>
      <c r="V110" s="142"/>
      <c r="W110" s="142"/>
      <c r="X110" s="142"/>
      <c r="Y110" s="130">
        <v>39264</v>
      </c>
      <c r="Z110" s="15">
        <v>0.28</v>
      </c>
      <c r="AA110" s="10">
        <f aca="true" t="shared" si="11" ref="AA110:AA117">Z110/100+1</f>
        <v>1.0028</v>
      </c>
      <c r="AB110">
        <f t="shared" si="8"/>
        <v>1.3196154915457632</v>
      </c>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row>
    <row r="111" spans="1:69" ht="20.25" customHeight="1">
      <c r="A111" s="118">
        <f t="shared" si="7"/>
        <v>17</v>
      </c>
      <c r="B111" s="118" t="s">
        <v>335</v>
      </c>
      <c r="C111" s="118">
        <v>17</v>
      </c>
      <c r="D111" s="120">
        <v>2008</v>
      </c>
      <c r="H111" s="122"/>
      <c r="I111" s="123">
        <f>AB123</f>
        <v>1.1505935072188636</v>
      </c>
      <c r="J111" s="19">
        <f t="shared" si="9"/>
        <v>0</v>
      </c>
      <c r="K111" s="124">
        <v>39666</v>
      </c>
      <c r="L111" s="125">
        <v>39756</v>
      </c>
      <c r="M111" s="124">
        <v>39923</v>
      </c>
      <c r="N111" s="104" t="s">
        <v>195</v>
      </c>
      <c r="O111" s="118">
        <f>M111-K111</f>
        <v>257</v>
      </c>
      <c r="P111" s="118"/>
      <c r="Q111" s="118"/>
      <c r="R111" s="124"/>
      <c r="S111" s="127"/>
      <c r="T111" s="118"/>
      <c r="U111" s="119"/>
      <c r="V111" s="128"/>
      <c r="W111" s="128"/>
      <c r="X111" s="128"/>
      <c r="Y111" s="130">
        <v>39295</v>
      </c>
      <c r="Z111" s="15">
        <v>0.98</v>
      </c>
      <c r="AA111" s="10">
        <f t="shared" si="11"/>
        <v>1.0098</v>
      </c>
      <c r="AB111">
        <f t="shared" si="8"/>
        <v>1.3159308850675742</v>
      </c>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row>
    <row r="112" spans="1:69" ht="20.25" customHeight="1">
      <c r="A112" s="118">
        <f t="shared" si="7"/>
        <v>18</v>
      </c>
      <c r="B112" s="118" t="s">
        <v>335</v>
      </c>
      <c r="C112" s="118">
        <v>18</v>
      </c>
      <c r="D112" s="120">
        <v>2008</v>
      </c>
      <c r="G112" s="103">
        <v>2229417.99</v>
      </c>
      <c r="H112" s="122">
        <f>G112</f>
        <v>2229417.99</v>
      </c>
      <c r="I112" s="123">
        <f>AB124</f>
        <v>1.1542872263431616</v>
      </c>
      <c r="J112" s="19">
        <f t="shared" si="9"/>
        <v>2573388.7080366467</v>
      </c>
      <c r="K112" s="124">
        <v>39715</v>
      </c>
      <c r="L112" s="125">
        <v>39755</v>
      </c>
      <c r="M112" s="124">
        <v>40067</v>
      </c>
      <c r="N112" s="104" t="s">
        <v>195</v>
      </c>
      <c r="O112" s="118">
        <f>M112-K112</f>
        <v>352</v>
      </c>
      <c r="P112" s="118"/>
      <c r="Q112" s="118"/>
      <c r="R112" s="124"/>
      <c r="S112" s="127"/>
      <c r="T112" s="118"/>
      <c r="U112" s="119"/>
      <c r="V112" s="128"/>
      <c r="W112" s="128"/>
      <c r="X112" s="128"/>
      <c r="Y112" s="130">
        <v>39326</v>
      </c>
      <c r="Z112" s="15">
        <v>1.29</v>
      </c>
      <c r="AA112" s="10">
        <f t="shared" si="11"/>
        <v>1.0129</v>
      </c>
      <c r="AB112">
        <f t="shared" si="8"/>
        <v>1.3031599178724245</v>
      </c>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row>
    <row r="113" spans="1:69" ht="20.25" customHeight="1">
      <c r="A113" s="118">
        <f t="shared" si="7"/>
        <v>19</v>
      </c>
      <c r="B113" s="118" t="s">
        <v>335</v>
      </c>
      <c r="C113" s="118">
        <v>19</v>
      </c>
      <c r="D113" s="120">
        <v>2008</v>
      </c>
      <c r="H113" s="122"/>
      <c r="I113" s="123">
        <f>AB125</f>
        <v>1.1530189055470597</v>
      </c>
      <c r="J113" s="19">
        <f t="shared" si="9"/>
        <v>0</v>
      </c>
      <c r="K113" s="124">
        <v>39724</v>
      </c>
      <c r="L113" s="125">
        <v>39771</v>
      </c>
      <c r="M113" s="124">
        <v>40099</v>
      </c>
      <c r="N113" s="104" t="s">
        <v>195</v>
      </c>
      <c r="O113" s="118">
        <f>M113-K113</f>
        <v>375</v>
      </c>
      <c r="P113" s="118"/>
      <c r="Q113" s="118"/>
      <c r="R113" s="124"/>
      <c r="S113" s="127"/>
      <c r="T113" s="118"/>
      <c r="U113" s="119"/>
      <c r="V113" s="128"/>
      <c r="W113" s="128"/>
      <c r="X113" s="128"/>
      <c r="Y113" s="12">
        <v>39356</v>
      </c>
      <c r="Z113" s="15">
        <v>1.05</v>
      </c>
      <c r="AA113" s="10">
        <f t="shared" si="11"/>
        <v>1.0105</v>
      </c>
      <c r="AB113">
        <f t="shared" si="8"/>
        <v>1.2865632519226227</v>
      </c>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row>
    <row r="114" spans="1:69" ht="20.25" customHeight="1">
      <c r="A114" s="118">
        <f t="shared" si="7"/>
        <v>20</v>
      </c>
      <c r="B114" s="118" t="s">
        <v>335</v>
      </c>
      <c r="C114" s="118">
        <v>20</v>
      </c>
      <c r="D114" s="131">
        <v>2008</v>
      </c>
      <c r="H114" s="122"/>
      <c r="I114" s="123">
        <f>AB125</f>
        <v>1.1530189055470597</v>
      </c>
      <c r="J114" s="19">
        <f t="shared" si="9"/>
        <v>0</v>
      </c>
      <c r="K114" s="124">
        <v>39723</v>
      </c>
      <c r="L114" s="125">
        <v>39798</v>
      </c>
      <c r="M114" s="124"/>
      <c r="N114" s="104" t="s">
        <v>195</v>
      </c>
      <c r="O114" s="118"/>
      <c r="P114" s="118" t="s">
        <v>344</v>
      </c>
      <c r="Q114" s="118" t="s">
        <v>345</v>
      </c>
      <c r="R114" s="124"/>
      <c r="S114" s="104"/>
      <c r="T114" s="119"/>
      <c r="U114" s="119"/>
      <c r="V114" s="128"/>
      <c r="W114" s="128"/>
      <c r="X114" s="128"/>
      <c r="Y114" s="130">
        <v>39387</v>
      </c>
      <c r="Z114" s="15">
        <v>0.69</v>
      </c>
      <c r="AA114" s="10">
        <f t="shared" si="11"/>
        <v>1.0069</v>
      </c>
      <c r="AB114">
        <f t="shared" si="8"/>
        <v>1.2731947074939365</v>
      </c>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row>
    <row r="115" spans="1:69" ht="20.25" customHeight="1">
      <c r="A115" s="118">
        <f t="shared" si="7"/>
        <v>21</v>
      </c>
      <c r="B115" s="118" t="s">
        <v>335</v>
      </c>
      <c r="C115" s="118">
        <v>21</v>
      </c>
      <c r="D115" s="131">
        <v>2008</v>
      </c>
      <c r="G115" s="103">
        <v>1000000</v>
      </c>
      <c r="H115" s="122">
        <f>G115</f>
        <v>1000000</v>
      </c>
      <c r="I115" s="123">
        <f>AB125</f>
        <v>1.1530189055470597</v>
      </c>
      <c r="J115" s="19">
        <f t="shared" si="9"/>
        <v>1153018.9055470596</v>
      </c>
      <c r="K115" s="124">
        <v>39752</v>
      </c>
      <c r="L115" s="125"/>
      <c r="M115" s="124">
        <v>39824</v>
      </c>
      <c r="N115" s="104" t="s">
        <v>183</v>
      </c>
      <c r="O115" s="118">
        <f>M115-K115</f>
        <v>72</v>
      </c>
      <c r="P115" s="118"/>
      <c r="Q115" s="118"/>
      <c r="R115" s="124"/>
      <c r="S115" s="127"/>
      <c r="T115" s="118"/>
      <c r="U115" s="119"/>
      <c r="V115" s="128"/>
      <c r="W115" s="128"/>
      <c r="X115" s="128"/>
      <c r="Y115" s="130">
        <v>39417</v>
      </c>
      <c r="Z115" s="15">
        <v>1.76</v>
      </c>
      <c r="AA115" s="10">
        <f t="shared" si="11"/>
        <v>1.0176</v>
      </c>
      <c r="AB115">
        <f t="shared" si="8"/>
        <v>1.2644698654225213</v>
      </c>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row>
    <row r="116" spans="1:69" ht="20.25" customHeight="1">
      <c r="A116" s="118">
        <f t="shared" si="7"/>
        <v>22</v>
      </c>
      <c r="B116" s="118" t="s">
        <v>335</v>
      </c>
      <c r="C116" s="118">
        <v>22</v>
      </c>
      <c r="D116" s="131">
        <v>2008</v>
      </c>
      <c r="G116" s="103">
        <v>9180835.71</v>
      </c>
      <c r="H116" s="122">
        <f>G116</f>
        <v>9180835.71</v>
      </c>
      <c r="I116" s="123">
        <f>AB126</f>
        <v>1.1418289815280844</v>
      </c>
      <c r="J116" s="19">
        <f t="shared" si="9"/>
        <v>10482944.28832597</v>
      </c>
      <c r="K116" s="124">
        <v>39757</v>
      </c>
      <c r="L116" s="125">
        <v>39798</v>
      </c>
      <c r="M116" s="124"/>
      <c r="N116" s="104" t="s">
        <v>195</v>
      </c>
      <c r="O116" s="118"/>
      <c r="P116" s="118" t="s">
        <v>344</v>
      </c>
      <c r="Q116" s="118" t="s">
        <v>345</v>
      </c>
      <c r="R116" s="124"/>
      <c r="S116" s="104"/>
      <c r="T116" s="119"/>
      <c r="U116" s="119"/>
      <c r="V116" s="128"/>
      <c r="W116" s="128"/>
      <c r="X116" s="128"/>
      <c r="Y116" s="130">
        <v>39448</v>
      </c>
      <c r="Z116" s="15">
        <v>1.09</v>
      </c>
      <c r="AA116" s="10">
        <f t="shared" si="11"/>
        <v>1.0109</v>
      </c>
      <c r="AB116">
        <f t="shared" si="8"/>
        <v>1.2426001035991756</v>
      </c>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row>
    <row r="117" spans="1:69" ht="20.25" customHeight="1">
      <c r="A117" s="118">
        <f t="shared" si="7"/>
        <v>23</v>
      </c>
      <c r="B117" s="118" t="s">
        <v>335</v>
      </c>
      <c r="C117" s="118">
        <v>23</v>
      </c>
      <c r="D117" s="131">
        <v>2008</v>
      </c>
      <c r="G117" s="103">
        <v>14545442.98</v>
      </c>
      <c r="H117" s="122">
        <f>G117</f>
        <v>14545442.98</v>
      </c>
      <c r="I117" s="123">
        <f>AB126</f>
        <v>1.1418289815280844</v>
      </c>
      <c r="J117" s="19">
        <f t="shared" si="9"/>
        <v>16608408.343728226</v>
      </c>
      <c r="K117" s="124">
        <v>39758</v>
      </c>
      <c r="L117" s="125"/>
      <c r="M117" s="124"/>
      <c r="N117" s="104" t="s">
        <v>300</v>
      </c>
      <c r="O117" s="118"/>
      <c r="P117" s="118"/>
      <c r="Q117" s="118"/>
      <c r="R117" s="124"/>
      <c r="S117" s="127"/>
      <c r="T117" s="118"/>
      <c r="U117" s="119"/>
      <c r="V117" s="128"/>
      <c r="W117" s="128"/>
      <c r="X117" s="128"/>
      <c r="Y117" s="130">
        <v>39479</v>
      </c>
      <c r="Z117" s="15">
        <v>0.53</v>
      </c>
      <c r="AA117" s="10">
        <f t="shared" si="11"/>
        <v>1.0053</v>
      </c>
      <c r="AB117">
        <f t="shared" si="8"/>
        <v>1.2292018039362704</v>
      </c>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row>
    <row r="118" spans="1:69" ht="20.25" customHeight="1">
      <c r="A118" s="118">
        <f t="shared" si="7"/>
        <v>24</v>
      </c>
      <c r="B118" s="118" t="s">
        <v>335</v>
      </c>
      <c r="C118" s="118">
        <v>24</v>
      </c>
      <c r="D118" s="131">
        <v>2008</v>
      </c>
      <c r="G118" s="103">
        <v>70000000</v>
      </c>
      <c r="H118" s="122">
        <f>G118</f>
        <v>70000000</v>
      </c>
      <c r="I118" s="123">
        <f>AB126</f>
        <v>1.1418289815280844</v>
      </c>
      <c r="J118" s="19">
        <f t="shared" si="9"/>
        <v>79928028.70696591</v>
      </c>
      <c r="K118" s="124">
        <v>39765</v>
      </c>
      <c r="L118" s="125">
        <v>39840</v>
      </c>
      <c r="M118" s="124">
        <v>40737</v>
      </c>
      <c r="N118" s="104" t="s">
        <v>183</v>
      </c>
      <c r="O118" s="118"/>
      <c r="P118" s="118" t="s">
        <v>344</v>
      </c>
      <c r="Q118" s="118" t="s">
        <v>345</v>
      </c>
      <c r="R118" s="124"/>
      <c r="S118" s="104"/>
      <c r="T118" s="119"/>
      <c r="U118" s="119" t="s">
        <v>363</v>
      </c>
      <c r="V118" s="128"/>
      <c r="W118" s="128"/>
      <c r="X118" s="128"/>
      <c r="Y118" s="130">
        <v>39508</v>
      </c>
      <c r="Z118" s="15">
        <v>0.74</v>
      </c>
      <c r="AA118" s="10">
        <v>1.0009</v>
      </c>
      <c r="AB118">
        <f t="shared" si="8"/>
        <v>1.2227213806189896</v>
      </c>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row>
    <row r="119" spans="1:32" s="142" customFormat="1" ht="20.25" customHeight="1">
      <c r="A119" s="118">
        <f t="shared" si="7"/>
        <v>25</v>
      </c>
      <c r="B119" s="118" t="s">
        <v>335</v>
      </c>
      <c r="C119" s="118">
        <v>25</v>
      </c>
      <c r="D119" s="120">
        <v>2008</v>
      </c>
      <c r="E119" s="18"/>
      <c r="F119" s="18"/>
      <c r="G119" s="18"/>
      <c r="H119" s="122"/>
      <c r="I119" s="123">
        <f>AB126</f>
        <v>1.1418289815280844</v>
      </c>
      <c r="J119" s="19">
        <f t="shared" si="9"/>
        <v>0</v>
      </c>
      <c r="K119" s="124">
        <v>39779</v>
      </c>
      <c r="L119" s="125"/>
      <c r="M119" s="124">
        <v>39862</v>
      </c>
      <c r="N119" s="104" t="s">
        <v>195</v>
      </c>
      <c r="O119" s="118">
        <f>M119-K119</f>
        <v>83</v>
      </c>
      <c r="P119" s="118"/>
      <c r="Q119" s="118"/>
      <c r="R119" s="124"/>
      <c r="S119" s="127"/>
      <c r="T119" s="118"/>
      <c r="U119" s="119"/>
      <c r="V119" s="128"/>
      <c r="W119" s="128"/>
      <c r="X119" s="128"/>
      <c r="Y119" s="130">
        <v>39539</v>
      </c>
      <c r="Z119" s="15">
        <v>0.69</v>
      </c>
      <c r="AA119" s="10">
        <f aca="true" t="shared" si="12" ref="AA119:AA161">Z119/100+1</f>
        <v>1.0069</v>
      </c>
      <c r="AB119">
        <f t="shared" si="8"/>
        <v>1.2216219208901886</v>
      </c>
      <c r="AC119"/>
      <c r="AD119"/>
      <c r="AE119"/>
      <c r="AF119"/>
    </row>
    <row r="120" spans="1:69" ht="20.25" customHeight="1">
      <c r="A120" s="118">
        <f t="shared" si="7"/>
        <v>26</v>
      </c>
      <c r="B120" s="118" t="s">
        <v>335</v>
      </c>
      <c r="C120" s="118">
        <v>26</v>
      </c>
      <c r="D120" s="120">
        <v>2008</v>
      </c>
      <c r="G120" s="103">
        <v>896693</v>
      </c>
      <c r="H120" s="122">
        <f>G120</f>
        <v>896693</v>
      </c>
      <c r="I120" s="123">
        <f>AB127</f>
        <v>1.1375064569915165</v>
      </c>
      <c r="J120" s="19">
        <f t="shared" si="9"/>
        <v>1019994.077439094</v>
      </c>
      <c r="K120" s="124">
        <v>39797</v>
      </c>
      <c r="L120" s="125">
        <v>39897</v>
      </c>
      <c r="M120" s="124">
        <v>40232</v>
      </c>
      <c r="N120" s="104" t="s">
        <v>195</v>
      </c>
      <c r="O120" s="118">
        <f>M120-K120</f>
        <v>435</v>
      </c>
      <c r="P120" s="118"/>
      <c r="Q120" s="118"/>
      <c r="R120" s="124"/>
      <c r="S120" s="127"/>
      <c r="T120" s="118"/>
      <c r="U120" s="119"/>
      <c r="V120" s="128"/>
      <c r="W120" s="128"/>
      <c r="X120" s="128"/>
      <c r="Y120" s="130">
        <v>39569</v>
      </c>
      <c r="Z120" s="15">
        <v>1.61</v>
      </c>
      <c r="AA120" s="10">
        <f t="shared" si="12"/>
        <v>1.0161</v>
      </c>
      <c r="AB120">
        <f t="shared" si="8"/>
        <v>1.213250492491994</v>
      </c>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row>
    <row r="121" spans="1:69" ht="20.25" customHeight="1">
      <c r="A121" s="118">
        <f t="shared" si="7"/>
        <v>27</v>
      </c>
      <c r="B121" s="118" t="s">
        <v>335</v>
      </c>
      <c r="C121" s="118">
        <v>27</v>
      </c>
      <c r="D121" s="131">
        <v>2008</v>
      </c>
      <c r="G121" s="103">
        <v>3710000000</v>
      </c>
      <c r="H121" s="122">
        <f>G121</f>
        <v>3710000000</v>
      </c>
      <c r="I121" s="123">
        <f>AB127</f>
        <v>1.1375064569915165</v>
      </c>
      <c r="J121" s="19">
        <f t="shared" si="9"/>
        <v>4220148955.438526</v>
      </c>
      <c r="K121" s="124">
        <v>39801</v>
      </c>
      <c r="L121" s="125"/>
      <c r="M121" s="124">
        <v>39834</v>
      </c>
      <c r="N121" s="104" t="s">
        <v>299</v>
      </c>
      <c r="O121" s="118">
        <f>M121-K121</f>
        <v>33</v>
      </c>
      <c r="P121" s="118"/>
      <c r="Q121" s="118"/>
      <c r="R121" s="124"/>
      <c r="S121" s="127"/>
      <c r="T121" s="118"/>
      <c r="U121" s="119"/>
      <c r="V121" s="128"/>
      <c r="W121" s="128"/>
      <c r="X121" s="128"/>
      <c r="Y121" s="130">
        <v>39600</v>
      </c>
      <c r="Z121" s="15">
        <v>1.98</v>
      </c>
      <c r="AA121" s="10">
        <f t="shared" si="12"/>
        <v>1.0198</v>
      </c>
      <c r="AB121">
        <f t="shared" si="8"/>
        <v>1.1940266632142447</v>
      </c>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row>
    <row r="122" spans="1:69" ht="20.25" customHeight="1">
      <c r="A122" s="188">
        <v>1</v>
      </c>
      <c r="B122" s="136" t="s">
        <v>335</v>
      </c>
      <c r="C122" s="136">
        <v>1</v>
      </c>
      <c r="D122" s="137">
        <v>2009</v>
      </c>
      <c r="G122" s="138">
        <v>12000000</v>
      </c>
      <c r="H122" s="139">
        <f>G122</f>
        <v>12000000</v>
      </c>
      <c r="I122" s="123">
        <f>AB128</f>
        <v>1.1389871402738725</v>
      </c>
      <c r="J122" s="19">
        <f t="shared" si="9"/>
        <v>13667845.68328647</v>
      </c>
      <c r="K122" s="106">
        <v>39836</v>
      </c>
      <c r="L122" s="140">
        <v>39944</v>
      </c>
      <c r="M122" s="106"/>
      <c r="N122" s="104" t="s">
        <v>101</v>
      </c>
      <c r="O122" s="136"/>
      <c r="P122" s="136" t="s">
        <v>364</v>
      </c>
      <c r="Q122" s="136" t="s">
        <v>345</v>
      </c>
      <c r="R122" s="106">
        <v>40841</v>
      </c>
      <c r="S122" s="104" t="s">
        <v>365</v>
      </c>
      <c r="T122" s="104" t="s">
        <v>366</v>
      </c>
      <c r="U122" s="119" t="s">
        <v>351</v>
      </c>
      <c r="V122" s="142"/>
      <c r="W122" s="142"/>
      <c r="X122" s="142"/>
      <c r="Y122" s="130">
        <v>39630</v>
      </c>
      <c r="Z122" s="15">
        <v>1.76</v>
      </c>
      <c r="AA122" s="10">
        <f t="shared" si="12"/>
        <v>1.0176</v>
      </c>
      <c r="AB122">
        <f t="shared" si="8"/>
        <v>1.1708439529459156</v>
      </c>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row>
    <row r="123" spans="1:69" ht="20.25" customHeight="1">
      <c r="A123" s="188">
        <f t="shared" si="7"/>
        <v>2</v>
      </c>
      <c r="B123" s="118" t="s">
        <v>335</v>
      </c>
      <c r="C123" s="118">
        <v>2</v>
      </c>
      <c r="D123" s="120">
        <v>2009</v>
      </c>
      <c r="G123" s="103">
        <v>102000000</v>
      </c>
      <c r="H123" s="122">
        <v>102000000</v>
      </c>
      <c r="I123" s="123">
        <f>AB128</f>
        <v>1.1389871402738725</v>
      </c>
      <c r="J123" s="19">
        <f t="shared" si="9"/>
        <v>116176688.307935</v>
      </c>
      <c r="K123" s="124">
        <v>39840</v>
      </c>
      <c r="L123" s="125">
        <v>39916</v>
      </c>
      <c r="M123" s="124">
        <v>40702</v>
      </c>
      <c r="N123" s="104" t="s">
        <v>195</v>
      </c>
      <c r="O123" s="118">
        <f>M123-K123</f>
        <v>862</v>
      </c>
      <c r="P123" s="118" t="s">
        <v>344</v>
      </c>
      <c r="Q123" s="118" t="s">
        <v>345</v>
      </c>
      <c r="R123" s="106"/>
      <c r="S123" s="104"/>
      <c r="T123" s="119" t="s">
        <v>367</v>
      </c>
      <c r="U123" s="119"/>
      <c r="V123" s="128"/>
      <c r="W123" s="128"/>
      <c r="X123" s="128"/>
      <c r="Y123" s="130">
        <v>39661</v>
      </c>
      <c r="Z123" s="15">
        <v>-0.32</v>
      </c>
      <c r="AA123" s="10">
        <f t="shared" si="12"/>
        <v>0.9968</v>
      </c>
      <c r="AB123">
        <f t="shared" si="8"/>
        <v>1.1505935072188636</v>
      </c>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row>
    <row r="124" spans="1:69" ht="20.25" customHeight="1">
      <c r="A124" s="188">
        <f t="shared" si="7"/>
        <v>3</v>
      </c>
      <c r="B124" s="118" t="s">
        <v>335</v>
      </c>
      <c r="C124" s="118">
        <v>3</v>
      </c>
      <c r="D124" s="131">
        <v>2009</v>
      </c>
      <c r="E124" s="129">
        <v>50000000</v>
      </c>
      <c r="F124" s="118">
        <v>1.71</v>
      </c>
      <c r="G124" s="103">
        <v>85500000</v>
      </c>
      <c r="H124" s="122">
        <v>85500000</v>
      </c>
      <c r="I124" s="123">
        <f>AB128</f>
        <v>1.1389871402738725</v>
      </c>
      <c r="J124" s="19">
        <f t="shared" si="9"/>
        <v>97383400.4934161</v>
      </c>
      <c r="K124" s="124">
        <v>39840</v>
      </c>
      <c r="L124" s="125">
        <v>39987</v>
      </c>
      <c r="M124" s="124"/>
      <c r="N124" s="104" t="s">
        <v>301</v>
      </c>
      <c r="O124" s="118"/>
      <c r="P124" s="118" t="s">
        <v>344</v>
      </c>
      <c r="Q124" s="118" t="s">
        <v>345</v>
      </c>
      <c r="R124" s="124">
        <v>40711</v>
      </c>
      <c r="S124" s="104" t="s">
        <v>355</v>
      </c>
      <c r="T124" s="119" t="s">
        <v>368</v>
      </c>
      <c r="U124" s="119" t="s">
        <v>369</v>
      </c>
      <c r="V124" s="128"/>
      <c r="W124" s="128"/>
      <c r="X124" s="128"/>
      <c r="Y124" s="130">
        <v>39692</v>
      </c>
      <c r="Z124" s="15">
        <v>0.11</v>
      </c>
      <c r="AA124" s="10">
        <f t="shared" si="12"/>
        <v>1.0011</v>
      </c>
      <c r="AB124">
        <f t="shared" si="8"/>
        <v>1.1542872263431616</v>
      </c>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row>
    <row r="125" spans="1:69" ht="20.25" customHeight="1">
      <c r="A125" s="188">
        <f t="shared" si="7"/>
        <v>4</v>
      </c>
      <c r="B125" s="118" t="s">
        <v>335</v>
      </c>
      <c r="C125" s="118">
        <v>4</v>
      </c>
      <c r="D125" s="131">
        <v>2009</v>
      </c>
      <c r="G125" s="103">
        <v>5238346.32</v>
      </c>
      <c r="H125" s="122">
        <v>5238346.32</v>
      </c>
      <c r="I125" s="123">
        <f>AB129</f>
        <v>1.1440208319343836</v>
      </c>
      <c r="J125" s="19">
        <f t="shared" si="9"/>
        <v>5992777.314966817</v>
      </c>
      <c r="K125" s="124">
        <v>39849</v>
      </c>
      <c r="L125" s="125">
        <v>39888</v>
      </c>
      <c r="M125" s="124"/>
      <c r="N125" s="104" t="s">
        <v>101</v>
      </c>
      <c r="O125" s="118"/>
      <c r="P125" s="118" t="s">
        <v>364</v>
      </c>
      <c r="Q125" s="118" t="s">
        <v>344</v>
      </c>
      <c r="R125" s="124">
        <v>40841</v>
      </c>
      <c r="S125" s="104" t="s">
        <v>346</v>
      </c>
      <c r="T125" s="119" t="s">
        <v>370</v>
      </c>
      <c r="U125" s="119" t="s">
        <v>351</v>
      </c>
      <c r="V125" s="128"/>
      <c r="W125" s="128"/>
      <c r="X125" s="128"/>
      <c r="Y125" s="130">
        <v>39722</v>
      </c>
      <c r="Z125" s="15">
        <v>0.98</v>
      </c>
      <c r="AA125" s="10">
        <f t="shared" si="12"/>
        <v>1.0098</v>
      </c>
      <c r="AB125">
        <f t="shared" si="8"/>
        <v>1.1530189055470597</v>
      </c>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row>
    <row r="126" spans="1:69" ht="20.25" customHeight="1">
      <c r="A126" s="188">
        <f t="shared" si="7"/>
        <v>5</v>
      </c>
      <c r="B126" s="118" t="s">
        <v>335</v>
      </c>
      <c r="C126" s="118">
        <v>5</v>
      </c>
      <c r="D126" s="131">
        <v>2009</v>
      </c>
      <c r="G126" s="103">
        <v>7000000</v>
      </c>
      <c r="H126" s="122">
        <f>G126</f>
        <v>7000000</v>
      </c>
      <c r="I126" s="123">
        <f>AB129</f>
        <v>1.1440208319343836</v>
      </c>
      <c r="J126" s="19">
        <f t="shared" si="9"/>
        <v>8008145.823540686</v>
      </c>
      <c r="K126" s="124">
        <v>39863</v>
      </c>
      <c r="L126" s="125">
        <v>39945</v>
      </c>
      <c r="M126" s="124"/>
      <c r="N126" s="104" t="s">
        <v>195</v>
      </c>
      <c r="O126" s="118"/>
      <c r="P126" s="118" t="s">
        <v>345</v>
      </c>
      <c r="Q126" s="118" t="s">
        <v>344</v>
      </c>
      <c r="R126" s="143">
        <v>40497</v>
      </c>
      <c r="S126" s="104" t="s">
        <v>371</v>
      </c>
      <c r="T126" s="104" t="s">
        <v>372</v>
      </c>
      <c r="U126" s="119" t="s">
        <v>361</v>
      </c>
      <c r="V126" s="128"/>
      <c r="W126" s="128"/>
      <c r="X126" s="128"/>
      <c r="Y126" s="130">
        <v>39753</v>
      </c>
      <c r="Z126" s="15">
        <v>0.38</v>
      </c>
      <c r="AA126" s="10">
        <f t="shared" si="12"/>
        <v>1.0038</v>
      </c>
      <c r="AB126">
        <f t="shared" si="8"/>
        <v>1.1418289815280844</v>
      </c>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row>
    <row r="127" spans="1:69" ht="20.25" customHeight="1">
      <c r="A127" s="188">
        <f t="shared" si="7"/>
        <v>6</v>
      </c>
      <c r="B127" s="118" t="s">
        <v>335</v>
      </c>
      <c r="C127" s="118">
        <v>6</v>
      </c>
      <c r="D127" s="131">
        <v>2009</v>
      </c>
      <c r="G127" s="103">
        <v>300000</v>
      </c>
      <c r="H127" s="122">
        <v>300000</v>
      </c>
      <c r="I127" s="123">
        <f>AB130</f>
        <v>1.1410540912970115</v>
      </c>
      <c r="J127" s="19">
        <f t="shared" si="9"/>
        <v>342316.22738910344</v>
      </c>
      <c r="K127" s="124">
        <v>39874</v>
      </c>
      <c r="L127" s="125">
        <v>39919</v>
      </c>
      <c r="M127" s="124">
        <v>40688</v>
      </c>
      <c r="N127" s="104" t="s">
        <v>195</v>
      </c>
      <c r="O127" s="118"/>
      <c r="P127" s="118" t="s">
        <v>344</v>
      </c>
      <c r="Q127" s="118" t="s">
        <v>345</v>
      </c>
      <c r="R127" s="106"/>
      <c r="S127" s="104"/>
      <c r="T127" s="119"/>
      <c r="U127" s="119" t="s">
        <v>373</v>
      </c>
      <c r="V127" s="128"/>
      <c r="W127" s="128"/>
      <c r="X127" s="128"/>
      <c r="Y127" s="130">
        <v>39783</v>
      </c>
      <c r="Z127" s="11">
        <v>-0.13</v>
      </c>
      <c r="AA127" s="10">
        <f t="shared" si="12"/>
        <v>0.9987</v>
      </c>
      <c r="AB127">
        <f t="shared" si="8"/>
        <v>1.1375064569915165</v>
      </c>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row>
    <row r="128" spans="1:69" ht="20.25" customHeight="1">
      <c r="A128" s="188">
        <f t="shared" si="7"/>
        <v>7</v>
      </c>
      <c r="B128" s="136" t="s">
        <v>335</v>
      </c>
      <c r="C128" s="136">
        <v>7</v>
      </c>
      <c r="D128" s="137">
        <v>2009</v>
      </c>
      <c r="G128" s="138">
        <v>15827376</v>
      </c>
      <c r="H128" s="139">
        <f>G128</f>
        <v>15827376</v>
      </c>
      <c r="I128" s="123">
        <f>AB130</f>
        <v>1.1410540912970115</v>
      </c>
      <c r="J128" s="19">
        <f t="shared" si="9"/>
        <v>18059892.13929613</v>
      </c>
      <c r="K128" s="106">
        <v>39875</v>
      </c>
      <c r="L128" s="140">
        <v>39947</v>
      </c>
      <c r="M128" s="106"/>
      <c r="N128" s="104" t="s">
        <v>101</v>
      </c>
      <c r="O128" s="136"/>
      <c r="P128" s="136" t="s">
        <v>364</v>
      </c>
      <c r="Q128" s="136" t="s">
        <v>345</v>
      </c>
      <c r="R128" s="106">
        <v>40875</v>
      </c>
      <c r="S128" s="104" t="s">
        <v>374</v>
      </c>
      <c r="T128" s="104" t="s">
        <v>375</v>
      </c>
      <c r="U128" s="119" t="s">
        <v>351</v>
      </c>
      <c r="V128" s="142"/>
      <c r="W128" s="142"/>
      <c r="X128" s="142"/>
      <c r="Y128" s="130">
        <v>39814</v>
      </c>
      <c r="Z128" s="11">
        <v>-0.44</v>
      </c>
      <c r="AA128" s="10">
        <f t="shared" si="12"/>
        <v>0.9956</v>
      </c>
      <c r="AB128">
        <f t="shared" si="8"/>
        <v>1.1389871402738725</v>
      </c>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row>
    <row r="129" spans="1:69" ht="20.25" customHeight="1">
      <c r="A129" s="188">
        <f t="shared" si="7"/>
        <v>8</v>
      </c>
      <c r="B129" s="118" t="s">
        <v>335</v>
      </c>
      <c r="C129" s="118">
        <v>8</v>
      </c>
      <c r="D129" s="120">
        <v>2009</v>
      </c>
      <c r="H129" s="122"/>
      <c r="I129" s="123">
        <f>AB130</f>
        <v>1.1410540912970115</v>
      </c>
      <c r="J129" s="19">
        <f t="shared" si="9"/>
        <v>0</v>
      </c>
      <c r="K129" s="124">
        <v>39877</v>
      </c>
      <c r="L129" s="125">
        <v>39952</v>
      </c>
      <c r="M129" s="124">
        <v>40287</v>
      </c>
      <c r="N129" s="104" t="s">
        <v>195</v>
      </c>
      <c r="O129" s="118">
        <f>M129-K129</f>
        <v>410</v>
      </c>
      <c r="P129" s="118" t="s">
        <v>344</v>
      </c>
      <c r="Q129" s="118" t="s">
        <v>345</v>
      </c>
      <c r="R129" s="124"/>
      <c r="S129" s="104"/>
      <c r="T129" s="119"/>
      <c r="U129" s="119"/>
      <c r="V129" s="128"/>
      <c r="W129" s="128"/>
      <c r="X129" s="128"/>
      <c r="Y129" s="130">
        <v>39845</v>
      </c>
      <c r="Z129" s="11">
        <v>0.26</v>
      </c>
      <c r="AA129" s="10">
        <f t="shared" si="12"/>
        <v>1.0026</v>
      </c>
      <c r="AB129">
        <f t="shared" si="8"/>
        <v>1.1440208319343836</v>
      </c>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row>
    <row r="130" spans="1:69" ht="20.25" customHeight="1">
      <c r="A130" s="188">
        <f t="shared" si="7"/>
        <v>9</v>
      </c>
      <c r="B130" s="118" t="s">
        <v>335</v>
      </c>
      <c r="C130" s="118">
        <v>9</v>
      </c>
      <c r="D130" s="120">
        <v>2009</v>
      </c>
      <c r="G130" s="103">
        <v>17112185.16</v>
      </c>
      <c r="H130" s="122">
        <v>17112185.16</v>
      </c>
      <c r="I130" s="123">
        <f>AB130</f>
        <v>1.1410540912970115</v>
      </c>
      <c r="J130" s="19">
        <f t="shared" si="9"/>
        <v>19525928.887850005</v>
      </c>
      <c r="K130" s="124">
        <v>39877</v>
      </c>
      <c r="L130" s="125">
        <v>39938</v>
      </c>
      <c r="M130" s="124">
        <v>40451</v>
      </c>
      <c r="N130" s="104" t="s">
        <v>195</v>
      </c>
      <c r="O130" s="118">
        <f>M130-K130</f>
        <v>574</v>
      </c>
      <c r="P130" s="118" t="s">
        <v>344</v>
      </c>
      <c r="Q130" s="118" t="s">
        <v>345</v>
      </c>
      <c r="R130" s="124"/>
      <c r="S130" s="104"/>
      <c r="T130" s="119"/>
      <c r="U130" s="119"/>
      <c r="V130" s="128"/>
      <c r="W130" s="128"/>
      <c r="X130" s="128"/>
      <c r="Y130" s="130">
        <v>39873</v>
      </c>
      <c r="Z130" s="11">
        <v>-0.74</v>
      </c>
      <c r="AA130" s="10">
        <f t="shared" si="12"/>
        <v>0.9926</v>
      </c>
      <c r="AB130">
        <f t="shared" si="8"/>
        <v>1.1410540912970115</v>
      </c>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row>
    <row r="131" spans="1:32" s="142" customFormat="1" ht="20.25" customHeight="1">
      <c r="A131" s="188">
        <f t="shared" si="7"/>
        <v>10</v>
      </c>
      <c r="B131" s="118" t="s">
        <v>335</v>
      </c>
      <c r="C131" s="118">
        <v>10</v>
      </c>
      <c r="D131" s="131">
        <v>2009</v>
      </c>
      <c r="E131" s="18"/>
      <c r="F131" s="18"/>
      <c r="G131" s="103">
        <v>126229677.4</v>
      </c>
      <c r="H131" s="122">
        <v>126229677.4</v>
      </c>
      <c r="I131" s="123">
        <f>AB132</f>
        <v>1.1512877731840674</v>
      </c>
      <c r="J131" s="19">
        <f t="shared" si="9"/>
        <v>145326684.2035892</v>
      </c>
      <c r="K131" s="124">
        <v>39959</v>
      </c>
      <c r="L131" s="125">
        <v>40095</v>
      </c>
      <c r="M131" s="124"/>
      <c r="N131" s="104" t="s">
        <v>101</v>
      </c>
      <c r="O131" s="118"/>
      <c r="P131" s="118" t="s">
        <v>344</v>
      </c>
      <c r="Q131" s="118" t="s">
        <v>345</v>
      </c>
      <c r="R131" s="124">
        <v>40850</v>
      </c>
      <c r="S131" s="104" t="s">
        <v>358</v>
      </c>
      <c r="T131" s="119" t="s">
        <v>359</v>
      </c>
      <c r="U131" s="119" t="s">
        <v>353</v>
      </c>
      <c r="V131" s="128"/>
      <c r="W131" s="128"/>
      <c r="X131" s="128"/>
      <c r="Y131" s="12">
        <v>39904</v>
      </c>
      <c r="Z131" s="11">
        <v>-0.15</v>
      </c>
      <c r="AA131" s="10">
        <f t="shared" si="12"/>
        <v>0.9985</v>
      </c>
      <c r="AB131">
        <f t="shared" si="8"/>
        <v>1.1495608415242913</v>
      </c>
      <c r="AC131"/>
      <c r="AD131"/>
      <c r="AE131"/>
      <c r="AF131"/>
    </row>
    <row r="132" spans="1:69" ht="20.25" customHeight="1">
      <c r="A132" s="188">
        <f aca="true" t="shared" si="13" ref="A132:A195">A131+1</f>
        <v>11</v>
      </c>
      <c r="B132" s="118" t="s">
        <v>335</v>
      </c>
      <c r="C132" s="118">
        <v>11</v>
      </c>
      <c r="D132" s="131">
        <v>2009</v>
      </c>
      <c r="G132" s="103">
        <v>2485200</v>
      </c>
      <c r="H132" s="122">
        <v>2485200</v>
      </c>
      <c r="I132" s="123">
        <f>AB130</f>
        <v>1.1410540912970115</v>
      </c>
      <c r="J132" s="19">
        <f t="shared" si="9"/>
        <v>2835747.627691333</v>
      </c>
      <c r="K132" s="124">
        <v>39889</v>
      </c>
      <c r="L132" s="125">
        <v>40031</v>
      </c>
      <c r="M132" s="124"/>
      <c r="N132" s="104" t="s">
        <v>302</v>
      </c>
      <c r="O132" s="118"/>
      <c r="P132" s="118" t="s">
        <v>344</v>
      </c>
      <c r="Q132" s="118" t="s">
        <v>345</v>
      </c>
      <c r="R132" s="124">
        <v>40875</v>
      </c>
      <c r="S132" s="104" t="s">
        <v>355</v>
      </c>
      <c r="T132" s="119" t="s">
        <v>376</v>
      </c>
      <c r="U132" s="127" t="s">
        <v>353</v>
      </c>
      <c r="V132" s="128"/>
      <c r="W132" s="128"/>
      <c r="X132" s="128"/>
      <c r="Y132" s="130">
        <v>39934</v>
      </c>
      <c r="Z132" s="11">
        <v>-0.07</v>
      </c>
      <c r="AA132" s="10">
        <f t="shared" si="12"/>
        <v>0.9993</v>
      </c>
      <c r="AB132">
        <f aca="true" t="shared" si="14" ref="AB132:AB160">AB133*AA132</f>
        <v>1.1512877731840674</v>
      </c>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row>
    <row r="133" spans="1:69" ht="20.25" customHeight="1">
      <c r="A133" s="188">
        <f t="shared" si="13"/>
        <v>12</v>
      </c>
      <c r="B133" s="136" t="s">
        <v>335</v>
      </c>
      <c r="C133" s="136">
        <v>12</v>
      </c>
      <c r="D133" s="137">
        <v>2009</v>
      </c>
      <c r="G133" s="138">
        <v>12000000</v>
      </c>
      <c r="H133" s="139">
        <f>G133</f>
        <v>12000000</v>
      </c>
      <c r="I133" s="123">
        <f>AB130</f>
        <v>1.1410540912970115</v>
      </c>
      <c r="J133" s="19">
        <f aca="true" t="shared" si="15" ref="J133:J195">I133*G133</f>
        <v>13692649.095564138</v>
      </c>
      <c r="K133" s="106">
        <v>39892</v>
      </c>
      <c r="L133" s="140">
        <v>39958</v>
      </c>
      <c r="M133" s="144" t="s">
        <v>377</v>
      </c>
      <c r="N133" s="104" t="s">
        <v>303</v>
      </c>
      <c r="O133" s="136"/>
      <c r="P133" s="136" t="s">
        <v>345</v>
      </c>
      <c r="Q133" s="136" t="s">
        <v>344</v>
      </c>
      <c r="R133" s="124">
        <v>40882</v>
      </c>
      <c r="S133" s="104" t="s">
        <v>346</v>
      </c>
      <c r="T133" s="119" t="s">
        <v>378</v>
      </c>
      <c r="U133" s="119" t="s">
        <v>351</v>
      </c>
      <c r="V133" s="142"/>
      <c r="W133" s="142"/>
      <c r="X133" s="142"/>
      <c r="Y133" s="12">
        <v>39965</v>
      </c>
      <c r="Z133" s="14">
        <v>-0.1</v>
      </c>
      <c r="AA133" s="10">
        <f t="shared" si="12"/>
        <v>0.999</v>
      </c>
      <c r="AB133">
        <f t="shared" si="14"/>
        <v>1.1520942391514735</v>
      </c>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row>
    <row r="134" spans="1:69" ht="20.25" customHeight="1">
      <c r="A134" s="188">
        <f t="shared" si="13"/>
        <v>13</v>
      </c>
      <c r="B134" s="118" t="s">
        <v>335</v>
      </c>
      <c r="C134" s="118">
        <v>13</v>
      </c>
      <c r="D134" s="120">
        <v>2009</v>
      </c>
      <c r="G134" s="103">
        <v>10000000</v>
      </c>
      <c r="H134" s="122">
        <f>G134</f>
        <v>10000000</v>
      </c>
      <c r="I134" s="123">
        <f>AB130</f>
        <v>1.1410540912970115</v>
      </c>
      <c r="J134" s="19">
        <f t="shared" si="15"/>
        <v>11410540.912970114</v>
      </c>
      <c r="K134" s="124">
        <v>39892</v>
      </c>
      <c r="L134" s="125">
        <v>39960</v>
      </c>
      <c r="M134" s="124">
        <v>40038</v>
      </c>
      <c r="N134" s="104" t="s">
        <v>195</v>
      </c>
      <c r="O134" s="118">
        <f>M134-K134</f>
        <v>146</v>
      </c>
      <c r="P134" s="118"/>
      <c r="Q134" s="118"/>
      <c r="R134" s="134">
        <v>40870</v>
      </c>
      <c r="S134" s="104" t="s">
        <v>379</v>
      </c>
      <c r="T134" s="119" t="s">
        <v>380</v>
      </c>
      <c r="U134" s="119" t="s">
        <v>353</v>
      </c>
      <c r="V134" s="128"/>
      <c r="W134" s="128"/>
      <c r="X134" s="128"/>
      <c r="Y134" s="12">
        <v>39995</v>
      </c>
      <c r="Z134" s="16">
        <v>-0.43</v>
      </c>
      <c r="AA134" s="10">
        <f t="shared" si="12"/>
        <v>0.9957</v>
      </c>
      <c r="AB134">
        <f t="shared" si="14"/>
        <v>1.1532474866381115</v>
      </c>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row>
    <row r="135" spans="1:69" ht="20.25" customHeight="1">
      <c r="A135" s="188">
        <f t="shared" si="13"/>
        <v>14</v>
      </c>
      <c r="B135" s="118" t="s">
        <v>335</v>
      </c>
      <c r="C135" s="118">
        <v>14</v>
      </c>
      <c r="D135" s="131">
        <v>2009</v>
      </c>
      <c r="G135" s="103">
        <v>50000</v>
      </c>
      <c r="H135" s="122">
        <f>G135</f>
        <v>50000</v>
      </c>
      <c r="I135" s="123">
        <f>AB130</f>
        <v>1.1410540912970115</v>
      </c>
      <c r="J135" s="19">
        <f t="shared" si="15"/>
        <v>57052.704564850574</v>
      </c>
      <c r="K135" s="124">
        <v>39896</v>
      </c>
      <c r="L135" s="125">
        <v>40043</v>
      </c>
      <c r="M135" s="124"/>
      <c r="N135" s="104" t="s">
        <v>300</v>
      </c>
      <c r="O135" s="118"/>
      <c r="P135" s="118"/>
      <c r="Q135" s="118"/>
      <c r="R135" s="124">
        <v>40851</v>
      </c>
      <c r="S135" s="104" t="s">
        <v>355</v>
      </c>
      <c r="T135" s="104" t="s">
        <v>381</v>
      </c>
      <c r="U135" s="119" t="s">
        <v>353</v>
      </c>
      <c r="V135" s="128"/>
      <c r="W135" s="128"/>
      <c r="X135" s="128"/>
      <c r="Y135" s="12">
        <v>40026</v>
      </c>
      <c r="Z135" s="16">
        <v>-0.36</v>
      </c>
      <c r="AA135" s="10">
        <f t="shared" si="12"/>
        <v>0.9964</v>
      </c>
      <c r="AB135">
        <f t="shared" si="14"/>
        <v>1.1582278664639063</v>
      </c>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row>
    <row r="136" spans="1:69" ht="20.25" customHeight="1">
      <c r="A136" s="188">
        <f t="shared" si="13"/>
        <v>15</v>
      </c>
      <c r="B136" s="118" t="s">
        <v>335</v>
      </c>
      <c r="C136" s="118">
        <v>15</v>
      </c>
      <c r="D136" s="131">
        <v>2009</v>
      </c>
      <c r="H136" s="122"/>
      <c r="I136" s="123">
        <f>AB131</f>
        <v>1.1495608415242913</v>
      </c>
      <c r="J136" s="19">
        <f t="shared" si="15"/>
        <v>0</v>
      </c>
      <c r="K136" s="124">
        <v>39917</v>
      </c>
      <c r="L136" s="125">
        <v>40100</v>
      </c>
      <c r="M136" s="124"/>
      <c r="N136" s="104" t="s">
        <v>300</v>
      </c>
      <c r="O136" s="118"/>
      <c r="P136" s="118" t="s">
        <v>344</v>
      </c>
      <c r="Q136" s="118" t="s">
        <v>345</v>
      </c>
      <c r="R136" s="124">
        <v>40844</v>
      </c>
      <c r="S136" s="104" t="s">
        <v>382</v>
      </c>
      <c r="T136" s="119" t="s">
        <v>383</v>
      </c>
      <c r="U136" s="119" t="s">
        <v>353</v>
      </c>
      <c r="V136" s="128"/>
      <c r="W136" s="128"/>
      <c r="X136" s="128"/>
      <c r="Y136" s="12">
        <v>40057</v>
      </c>
      <c r="Z136" s="14">
        <v>0.42</v>
      </c>
      <c r="AA136" s="10">
        <f t="shared" si="12"/>
        <v>1.0042</v>
      </c>
      <c r="AB136">
        <f t="shared" si="14"/>
        <v>1.1624125516498458</v>
      </c>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row>
    <row r="137" spans="1:32" s="142" customFormat="1" ht="20.25" customHeight="1">
      <c r="A137" s="188">
        <f t="shared" si="13"/>
        <v>16</v>
      </c>
      <c r="B137" s="118" t="s">
        <v>335</v>
      </c>
      <c r="C137" s="118">
        <v>16</v>
      </c>
      <c r="D137" s="131">
        <v>2009</v>
      </c>
      <c r="E137" s="18"/>
      <c r="F137" s="18"/>
      <c r="G137" s="18"/>
      <c r="H137" s="122"/>
      <c r="I137" s="123">
        <f>AB131</f>
        <v>1.1495608415242913</v>
      </c>
      <c r="J137" s="19">
        <f t="shared" si="15"/>
        <v>0</v>
      </c>
      <c r="K137" s="124">
        <v>39927</v>
      </c>
      <c r="L137" s="125">
        <v>40023</v>
      </c>
      <c r="M137" s="124"/>
      <c r="N137" s="104" t="s">
        <v>301</v>
      </c>
      <c r="O137" s="118"/>
      <c r="P137" s="118" t="s">
        <v>344</v>
      </c>
      <c r="Q137" s="118" t="s">
        <v>345</v>
      </c>
      <c r="R137" s="124">
        <v>40693</v>
      </c>
      <c r="S137" s="104" t="s">
        <v>355</v>
      </c>
      <c r="T137" s="119" t="s">
        <v>384</v>
      </c>
      <c r="U137" s="119" t="s">
        <v>369</v>
      </c>
      <c r="V137" s="128"/>
      <c r="W137" s="128"/>
      <c r="X137" s="128"/>
      <c r="Y137" s="12">
        <v>40087</v>
      </c>
      <c r="Z137" s="14">
        <v>0.05</v>
      </c>
      <c r="AA137" s="10">
        <f t="shared" si="12"/>
        <v>1.0005</v>
      </c>
      <c r="AB137">
        <f t="shared" si="14"/>
        <v>1.157550838129701</v>
      </c>
      <c r="AC137"/>
      <c r="AD137"/>
      <c r="AE137"/>
      <c r="AF137"/>
    </row>
    <row r="138" spans="1:69" ht="20.25" customHeight="1">
      <c r="A138" s="188">
        <f t="shared" si="13"/>
        <v>17</v>
      </c>
      <c r="B138" s="118" t="s">
        <v>335</v>
      </c>
      <c r="C138" s="118">
        <v>17</v>
      </c>
      <c r="D138" s="131">
        <v>2009</v>
      </c>
      <c r="G138" s="103">
        <v>161192336.48</v>
      </c>
      <c r="H138" s="122">
        <v>161192336.48</v>
      </c>
      <c r="I138" s="123">
        <f>AB131</f>
        <v>1.1495608415242913</v>
      </c>
      <c r="J138" s="19">
        <f t="shared" si="15"/>
        <v>185300397.97121552</v>
      </c>
      <c r="K138" s="124">
        <v>39932</v>
      </c>
      <c r="L138" s="125">
        <v>40164</v>
      </c>
      <c r="M138" s="124"/>
      <c r="N138" s="104" t="s">
        <v>101</v>
      </c>
      <c r="O138" s="118"/>
      <c r="P138" s="118" t="s">
        <v>344</v>
      </c>
      <c r="Q138" s="118" t="s">
        <v>345</v>
      </c>
      <c r="R138" s="124">
        <v>40882</v>
      </c>
      <c r="S138" s="104" t="s">
        <v>346</v>
      </c>
      <c r="T138" s="119" t="s">
        <v>378</v>
      </c>
      <c r="U138" s="119" t="s">
        <v>353</v>
      </c>
      <c r="V138" s="128"/>
      <c r="W138" s="128"/>
      <c r="X138" s="128"/>
      <c r="Y138" s="12">
        <v>40118</v>
      </c>
      <c r="Z138" s="17">
        <v>0.1</v>
      </c>
      <c r="AA138" s="10">
        <f t="shared" si="12"/>
        <v>1.001</v>
      </c>
      <c r="AB138">
        <f t="shared" si="14"/>
        <v>1.1569723519537243</v>
      </c>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row>
    <row r="139" spans="1:69" ht="20.25" customHeight="1">
      <c r="A139" s="188">
        <f t="shared" si="13"/>
        <v>18</v>
      </c>
      <c r="B139" s="136" t="s">
        <v>335</v>
      </c>
      <c r="C139" s="136">
        <v>18</v>
      </c>
      <c r="D139" s="137">
        <v>2009</v>
      </c>
      <c r="E139" s="145">
        <v>30000000</v>
      </c>
      <c r="F139" s="136">
        <v>1.71</v>
      </c>
      <c r="G139" s="138">
        <f>E139*F139</f>
        <v>51300000</v>
      </c>
      <c r="H139" s="139">
        <f>G139</f>
        <v>51300000</v>
      </c>
      <c r="I139" s="123">
        <f>AB132</f>
        <v>1.1512877731840674</v>
      </c>
      <c r="J139" s="19">
        <f t="shared" si="15"/>
        <v>59061062.76434266</v>
      </c>
      <c r="K139" s="106">
        <v>39938</v>
      </c>
      <c r="L139" s="140">
        <v>40039</v>
      </c>
      <c r="M139" s="106"/>
      <c r="N139" s="104" t="s">
        <v>195</v>
      </c>
      <c r="O139" s="136"/>
      <c r="P139" s="136" t="s">
        <v>345</v>
      </c>
      <c r="Q139" s="136" t="s">
        <v>344</v>
      </c>
      <c r="R139" s="106">
        <v>40651</v>
      </c>
      <c r="S139" s="104"/>
      <c r="T139" s="104" t="s">
        <v>385</v>
      </c>
      <c r="U139" s="119" t="s">
        <v>386</v>
      </c>
      <c r="V139" s="142"/>
      <c r="W139" s="142"/>
      <c r="X139" s="142"/>
      <c r="Y139" s="12">
        <v>40148</v>
      </c>
      <c r="Z139" s="17">
        <v>-0.26</v>
      </c>
      <c r="AA139" s="10">
        <f t="shared" si="12"/>
        <v>0.9974</v>
      </c>
      <c r="AB139">
        <f t="shared" si="14"/>
        <v>1.155816535418306</v>
      </c>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row>
    <row r="140" spans="1:69" ht="20.25" customHeight="1">
      <c r="A140" s="188">
        <f t="shared" si="13"/>
        <v>19</v>
      </c>
      <c r="B140" s="118" t="s">
        <v>335</v>
      </c>
      <c r="C140" s="118">
        <v>19</v>
      </c>
      <c r="D140" s="120">
        <v>2009</v>
      </c>
      <c r="E140" s="129">
        <v>1081400</v>
      </c>
      <c r="F140" s="118">
        <v>1.71</v>
      </c>
      <c r="G140" s="103">
        <f>E140*F140</f>
        <v>1849194</v>
      </c>
      <c r="H140" s="122">
        <f>G140</f>
        <v>1849194</v>
      </c>
      <c r="I140" s="123">
        <f>AB132</f>
        <v>1.1512877731840674</v>
      </c>
      <c r="J140" s="19">
        <f t="shared" si="15"/>
        <v>2128954.4424453382</v>
      </c>
      <c r="K140" s="124">
        <v>39939</v>
      </c>
      <c r="L140" s="125"/>
      <c r="M140" s="124">
        <v>40076</v>
      </c>
      <c r="N140" s="104" t="s">
        <v>195</v>
      </c>
      <c r="O140" s="118">
        <f>M140-K140</f>
        <v>137</v>
      </c>
      <c r="P140" s="118"/>
      <c r="Q140" s="118"/>
      <c r="R140" s="124"/>
      <c r="S140" s="127"/>
      <c r="T140" s="118"/>
      <c r="U140" s="119"/>
      <c r="V140" s="128"/>
      <c r="W140" s="128"/>
      <c r="X140" s="128"/>
      <c r="Y140" s="12">
        <v>40179</v>
      </c>
      <c r="Z140" s="17">
        <v>0.63</v>
      </c>
      <c r="AA140" s="10">
        <f t="shared" si="12"/>
        <v>1.0063</v>
      </c>
      <c r="AB140">
        <f t="shared" si="14"/>
        <v>1.1588294920977604</v>
      </c>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row>
    <row r="141" spans="1:69" ht="20.25" customHeight="1">
      <c r="A141" s="188">
        <f t="shared" si="13"/>
        <v>20</v>
      </c>
      <c r="B141" s="118" t="s">
        <v>335</v>
      </c>
      <c r="C141" s="118">
        <v>20</v>
      </c>
      <c r="D141" s="131">
        <v>2009</v>
      </c>
      <c r="H141" s="122"/>
      <c r="I141" s="123"/>
      <c r="J141" s="19">
        <f t="shared" si="15"/>
        <v>0</v>
      </c>
      <c r="L141" s="125"/>
      <c r="M141" s="124"/>
      <c r="N141" s="104" t="s">
        <v>298</v>
      </c>
      <c r="O141" s="118"/>
      <c r="P141" s="118"/>
      <c r="Q141" s="118"/>
      <c r="R141" s="124"/>
      <c r="S141" s="127"/>
      <c r="T141" s="118"/>
      <c r="U141" s="119"/>
      <c r="V141" s="128"/>
      <c r="W141" s="128"/>
      <c r="X141" s="128"/>
      <c r="Y141" s="3">
        <v>40210</v>
      </c>
      <c r="Z141" s="4">
        <v>1.18</v>
      </c>
      <c r="AA141" s="1">
        <f t="shared" si="12"/>
        <v>1.0118</v>
      </c>
      <c r="AB141" s="2">
        <f t="shared" si="14"/>
        <v>1.1515745722923187</v>
      </c>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row>
    <row r="142" spans="1:32" s="142" customFormat="1" ht="20.25" customHeight="1">
      <c r="A142" s="188">
        <f t="shared" si="13"/>
        <v>21</v>
      </c>
      <c r="B142" s="118" t="s">
        <v>335</v>
      </c>
      <c r="C142" s="118">
        <v>21</v>
      </c>
      <c r="D142" s="120">
        <v>2009</v>
      </c>
      <c r="E142" s="129">
        <v>4300000</v>
      </c>
      <c r="F142" s="118">
        <v>1.71</v>
      </c>
      <c r="G142" s="103">
        <f>E142*F142</f>
        <v>7353000</v>
      </c>
      <c r="H142" s="122">
        <f aca="true" t="shared" si="16" ref="H142:H149">G142</f>
        <v>7353000</v>
      </c>
      <c r="I142" s="123">
        <f>AB132</f>
        <v>1.1512877731840674</v>
      </c>
      <c r="J142" s="19">
        <f t="shared" si="15"/>
        <v>8465418.996222448</v>
      </c>
      <c r="K142" s="124">
        <v>39962</v>
      </c>
      <c r="L142" s="125">
        <v>40438</v>
      </c>
      <c r="M142" s="124">
        <v>40438</v>
      </c>
      <c r="N142" s="104" t="s">
        <v>195</v>
      </c>
      <c r="O142" s="118">
        <f>M142-K142</f>
        <v>476</v>
      </c>
      <c r="P142" s="118"/>
      <c r="Q142" s="118"/>
      <c r="R142" s="124"/>
      <c r="S142" s="127"/>
      <c r="T142" s="118"/>
      <c r="U142" s="119"/>
      <c r="V142" s="128"/>
      <c r="W142" s="128"/>
      <c r="X142" s="128"/>
      <c r="Y142" s="3">
        <v>40238</v>
      </c>
      <c r="Z142" s="4">
        <v>0.94</v>
      </c>
      <c r="AA142" s="1">
        <f t="shared" si="12"/>
        <v>1.0094</v>
      </c>
      <c r="AB142" s="2">
        <f t="shared" si="14"/>
        <v>1.1381444675749344</v>
      </c>
      <c r="AC142"/>
      <c r="AD142"/>
      <c r="AE142"/>
      <c r="AF142"/>
    </row>
    <row r="143" spans="1:69" ht="20.25" customHeight="1">
      <c r="A143" s="188">
        <f t="shared" si="13"/>
        <v>22</v>
      </c>
      <c r="B143" s="118" t="s">
        <v>335</v>
      </c>
      <c r="C143" s="118">
        <v>22</v>
      </c>
      <c r="D143" s="131">
        <v>2009</v>
      </c>
      <c r="E143" s="129">
        <v>889206.42</v>
      </c>
      <c r="F143" s="118">
        <v>1.71</v>
      </c>
      <c r="G143" s="103">
        <f>E143*F143</f>
        <v>1520542.9782</v>
      </c>
      <c r="H143" s="122">
        <f t="shared" si="16"/>
        <v>1520542.9782</v>
      </c>
      <c r="I143" s="123">
        <f>AB133</f>
        <v>1.1520942391514735</v>
      </c>
      <c r="J143" s="19">
        <f t="shared" si="15"/>
        <v>1751808.8055664445</v>
      </c>
      <c r="K143" s="124">
        <v>39979</v>
      </c>
      <c r="L143" s="125"/>
      <c r="M143" s="124"/>
      <c r="N143" s="104" t="s">
        <v>300</v>
      </c>
      <c r="O143" s="118"/>
      <c r="P143" s="118"/>
      <c r="Q143" s="118"/>
      <c r="R143" s="124"/>
      <c r="S143" s="127"/>
      <c r="T143" s="118"/>
      <c r="U143" s="119" t="s">
        <v>386</v>
      </c>
      <c r="V143" s="128"/>
      <c r="W143" s="128"/>
      <c r="X143" s="128"/>
      <c r="Y143" s="3">
        <v>40269</v>
      </c>
      <c r="Z143" s="4">
        <v>0.77</v>
      </c>
      <c r="AA143" s="1">
        <f t="shared" si="12"/>
        <v>1.0077</v>
      </c>
      <c r="AB143" s="2">
        <f t="shared" si="14"/>
        <v>1.1275455395036005</v>
      </c>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row>
    <row r="144" spans="1:69" ht="20.25" customHeight="1">
      <c r="A144" s="188">
        <f t="shared" si="13"/>
        <v>23</v>
      </c>
      <c r="B144" s="136" t="s">
        <v>335</v>
      </c>
      <c r="C144" s="136">
        <v>23</v>
      </c>
      <c r="D144" s="137">
        <v>2009</v>
      </c>
      <c r="G144" s="138">
        <v>10000000</v>
      </c>
      <c r="H144" s="139">
        <f t="shared" si="16"/>
        <v>10000000</v>
      </c>
      <c r="I144" s="123">
        <f>AB133</f>
        <v>1.1520942391514735</v>
      </c>
      <c r="J144" s="19">
        <f t="shared" si="15"/>
        <v>11520942.391514735</v>
      </c>
      <c r="K144" s="106">
        <v>39980</v>
      </c>
      <c r="L144" s="140">
        <v>39980</v>
      </c>
      <c r="M144" s="106"/>
      <c r="N144" s="104" t="s">
        <v>101</v>
      </c>
      <c r="O144" s="136"/>
      <c r="P144" s="136" t="s">
        <v>364</v>
      </c>
      <c r="Q144" s="136" t="s">
        <v>345</v>
      </c>
      <c r="R144" s="106">
        <v>40871</v>
      </c>
      <c r="S144" s="104" t="s">
        <v>346</v>
      </c>
      <c r="T144" s="104" t="s">
        <v>387</v>
      </c>
      <c r="U144" s="119" t="s">
        <v>351</v>
      </c>
      <c r="V144" s="142"/>
      <c r="W144" s="142"/>
      <c r="X144" s="142"/>
      <c r="Y144" s="3">
        <v>40299</v>
      </c>
      <c r="Z144" s="4">
        <v>1.14</v>
      </c>
      <c r="AA144" s="1">
        <f t="shared" si="12"/>
        <v>1.0114</v>
      </c>
      <c r="AB144" s="2">
        <f t="shared" si="14"/>
        <v>1.1189297801960905</v>
      </c>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row>
    <row r="145" spans="1:69" ht="20.25" customHeight="1">
      <c r="A145" s="188">
        <f t="shared" si="13"/>
        <v>24</v>
      </c>
      <c r="B145" s="136" t="s">
        <v>335</v>
      </c>
      <c r="C145" s="136">
        <v>24</v>
      </c>
      <c r="D145" s="137">
        <v>2009</v>
      </c>
      <c r="G145" s="138">
        <v>5000000</v>
      </c>
      <c r="H145" s="139">
        <f t="shared" si="16"/>
        <v>5000000</v>
      </c>
      <c r="I145" s="123">
        <f>AB133</f>
        <v>1.1520942391514735</v>
      </c>
      <c r="J145" s="19">
        <f t="shared" si="15"/>
        <v>5760471.195757368</v>
      </c>
      <c r="K145" s="106">
        <v>39982</v>
      </c>
      <c r="L145" s="140">
        <v>40086</v>
      </c>
      <c r="M145" s="106">
        <v>40592</v>
      </c>
      <c r="N145" s="104" t="s">
        <v>195</v>
      </c>
      <c r="O145" s="136"/>
      <c r="P145" s="136" t="s">
        <v>345</v>
      </c>
      <c r="Q145" s="136" t="s">
        <v>344</v>
      </c>
      <c r="R145" s="106"/>
      <c r="S145" s="104" t="s">
        <v>388</v>
      </c>
      <c r="T145" s="104" t="s">
        <v>389</v>
      </c>
      <c r="U145" s="119" t="s">
        <v>386</v>
      </c>
      <c r="V145" s="142"/>
      <c r="W145" s="142"/>
      <c r="X145" s="142"/>
      <c r="Y145" s="3">
        <v>40330</v>
      </c>
      <c r="Z145" s="4">
        <v>0.85</v>
      </c>
      <c r="AA145" s="1">
        <f t="shared" si="12"/>
        <v>1.0085</v>
      </c>
      <c r="AB145" s="2">
        <f t="shared" si="14"/>
        <v>1.106317757757653</v>
      </c>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row>
    <row r="146" spans="1:69" ht="20.25" customHeight="1">
      <c r="A146" s="188">
        <f t="shared" si="13"/>
        <v>25</v>
      </c>
      <c r="B146" s="136" t="s">
        <v>335</v>
      </c>
      <c r="C146" s="136">
        <v>25</v>
      </c>
      <c r="D146" s="137">
        <v>2009</v>
      </c>
      <c r="G146" s="138">
        <v>25000000</v>
      </c>
      <c r="H146" s="139">
        <f t="shared" si="16"/>
        <v>25000000</v>
      </c>
      <c r="I146" s="123">
        <f>AB133</f>
        <v>1.1520942391514735</v>
      </c>
      <c r="J146" s="19">
        <f t="shared" si="15"/>
        <v>28802355.978786837</v>
      </c>
      <c r="K146" s="106">
        <v>39988</v>
      </c>
      <c r="L146" s="140">
        <v>40070</v>
      </c>
      <c r="M146" s="106" t="s">
        <v>390</v>
      </c>
      <c r="N146" s="104" t="s">
        <v>195</v>
      </c>
      <c r="O146" s="136"/>
      <c r="P146" s="136" t="s">
        <v>345</v>
      </c>
      <c r="Q146" s="136" t="s">
        <v>344</v>
      </c>
      <c r="R146" s="106">
        <v>40688</v>
      </c>
      <c r="S146" s="104" t="s">
        <v>391</v>
      </c>
      <c r="T146" s="104" t="s">
        <v>392</v>
      </c>
      <c r="U146" s="119" t="s">
        <v>393</v>
      </c>
      <c r="V146" s="142"/>
      <c r="W146" s="142"/>
      <c r="X146" s="142"/>
      <c r="Y146" s="3">
        <v>40360</v>
      </c>
      <c r="Z146" s="4">
        <v>0.15</v>
      </c>
      <c r="AA146" s="1">
        <f t="shared" si="12"/>
        <v>1.0015</v>
      </c>
      <c r="AB146" s="2">
        <f t="shared" si="14"/>
        <v>1.0969933145836916</v>
      </c>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row>
    <row r="147" spans="1:69" ht="20.25" customHeight="1">
      <c r="A147" s="188">
        <f t="shared" si="13"/>
        <v>26</v>
      </c>
      <c r="B147" s="118" t="s">
        <v>335</v>
      </c>
      <c r="C147" s="118">
        <v>26</v>
      </c>
      <c r="D147" s="131">
        <v>2009</v>
      </c>
      <c r="G147" s="103">
        <v>2703669.84</v>
      </c>
      <c r="H147" s="122">
        <f t="shared" si="16"/>
        <v>2703669.84</v>
      </c>
      <c r="I147" s="123">
        <f>AB133</f>
        <v>1.1520942391514735</v>
      </c>
      <c r="J147" s="19">
        <f t="shared" si="15"/>
        <v>3114882.4472315856</v>
      </c>
      <c r="K147" s="124">
        <v>39990</v>
      </c>
      <c r="L147" s="125"/>
      <c r="M147" s="124">
        <v>40051</v>
      </c>
      <c r="N147" s="104" t="s">
        <v>183</v>
      </c>
      <c r="O147" s="118">
        <f>M147-K147</f>
        <v>61</v>
      </c>
      <c r="P147" s="118"/>
      <c r="Q147" s="118"/>
      <c r="R147" s="124"/>
      <c r="S147" s="127"/>
      <c r="T147" s="118"/>
      <c r="U147" s="119"/>
      <c r="V147" s="128"/>
      <c r="W147" s="128"/>
      <c r="X147" s="128"/>
      <c r="Y147" s="3">
        <v>40391</v>
      </c>
      <c r="Z147" s="146">
        <v>0.77</v>
      </c>
      <c r="AA147" s="1">
        <f t="shared" si="12"/>
        <v>1.0077</v>
      </c>
      <c r="AB147" s="2">
        <f t="shared" si="14"/>
        <v>1.0953502891499667</v>
      </c>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row>
    <row r="148" spans="1:32" s="142" customFormat="1" ht="20.25" customHeight="1">
      <c r="A148" s="188">
        <f t="shared" si="13"/>
        <v>27</v>
      </c>
      <c r="B148" s="118" t="s">
        <v>335</v>
      </c>
      <c r="C148" s="118">
        <v>27</v>
      </c>
      <c r="D148" s="120">
        <v>2009</v>
      </c>
      <c r="E148" s="18"/>
      <c r="F148" s="18"/>
      <c r="G148" s="103">
        <v>985000</v>
      </c>
      <c r="H148" s="122">
        <f t="shared" si="16"/>
        <v>985000</v>
      </c>
      <c r="I148" s="123">
        <f>AB133</f>
        <v>1.1520942391514735</v>
      </c>
      <c r="J148" s="19">
        <f t="shared" si="15"/>
        <v>1134812.8255642015</v>
      </c>
      <c r="K148" s="124">
        <v>39993</v>
      </c>
      <c r="L148" s="125">
        <v>40079</v>
      </c>
      <c r="M148" s="124">
        <v>40434</v>
      </c>
      <c r="N148" s="104" t="s">
        <v>195</v>
      </c>
      <c r="O148" s="118">
        <f>M148-K148</f>
        <v>441</v>
      </c>
      <c r="P148" s="118"/>
      <c r="Q148" s="118"/>
      <c r="R148" s="124"/>
      <c r="S148" s="127"/>
      <c r="T148" s="118"/>
      <c r="U148" s="119"/>
      <c r="V148" s="128"/>
      <c r="W148" s="128"/>
      <c r="X148" s="128"/>
      <c r="Y148" s="3">
        <v>40422</v>
      </c>
      <c r="Z148" s="146">
        <v>1.15</v>
      </c>
      <c r="AA148" s="1">
        <f t="shared" si="12"/>
        <v>1.0115</v>
      </c>
      <c r="AB148" s="2">
        <f t="shared" si="14"/>
        <v>1.0869805389996692</v>
      </c>
      <c r="AC148"/>
      <c r="AD148"/>
      <c r="AE148"/>
      <c r="AF148"/>
    </row>
    <row r="149" spans="1:69" ht="20.25" customHeight="1">
      <c r="A149" s="188">
        <f t="shared" si="13"/>
        <v>28</v>
      </c>
      <c r="B149" s="118" t="s">
        <v>335</v>
      </c>
      <c r="C149" s="118">
        <v>28</v>
      </c>
      <c r="D149" s="120">
        <v>2009</v>
      </c>
      <c r="G149" s="103">
        <v>5000000</v>
      </c>
      <c r="H149" s="122">
        <f t="shared" si="16"/>
        <v>5000000</v>
      </c>
      <c r="I149" s="123">
        <f>AB134</f>
        <v>1.1532474866381115</v>
      </c>
      <c r="J149" s="19">
        <f t="shared" si="15"/>
        <v>5766237.433190557</v>
      </c>
      <c r="K149" s="124">
        <v>39996</v>
      </c>
      <c r="L149" s="125">
        <v>40086</v>
      </c>
      <c r="M149" s="124">
        <v>40086</v>
      </c>
      <c r="N149" s="104" t="s">
        <v>195</v>
      </c>
      <c r="O149" s="118">
        <f>M149-K149</f>
        <v>90</v>
      </c>
      <c r="P149" s="118"/>
      <c r="Q149" s="118"/>
      <c r="R149" s="124"/>
      <c r="S149" s="127"/>
      <c r="T149" s="118"/>
      <c r="U149" s="104"/>
      <c r="V149" s="128"/>
      <c r="W149" s="128"/>
      <c r="X149" s="128"/>
      <c r="Y149" s="3">
        <v>40452</v>
      </c>
      <c r="Z149" s="146">
        <v>1.01</v>
      </c>
      <c r="AA149" s="1">
        <f t="shared" si="12"/>
        <v>1.0101</v>
      </c>
      <c r="AB149" s="2">
        <f t="shared" si="14"/>
        <v>1.0746223816111409</v>
      </c>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row>
    <row r="150" spans="1:69" ht="20.25" customHeight="1">
      <c r="A150" s="188">
        <f t="shared" si="13"/>
        <v>29</v>
      </c>
      <c r="B150" s="118" t="s">
        <v>335</v>
      </c>
      <c r="C150" s="118">
        <v>29</v>
      </c>
      <c r="D150" s="131">
        <v>2009</v>
      </c>
      <c r="G150" s="103">
        <v>1676630.4</v>
      </c>
      <c r="H150" s="122">
        <v>1676630.4</v>
      </c>
      <c r="I150" s="123">
        <f>AB134</f>
        <v>1.1532474866381115</v>
      </c>
      <c r="J150" s="19">
        <f t="shared" si="15"/>
        <v>1933569.7948210514</v>
      </c>
      <c r="K150" s="124">
        <v>40011</v>
      </c>
      <c r="L150" s="125">
        <v>40078</v>
      </c>
      <c r="M150" s="124"/>
      <c r="N150" s="104" t="s">
        <v>304</v>
      </c>
      <c r="O150" s="118"/>
      <c r="P150" s="118" t="s">
        <v>344</v>
      </c>
      <c r="Q150" s="118" t="s">
        <v>345</v>
      </c>
      <c r="R150" s="124">
        <v>40829</v>
      </c>
      <c r="S150" s="104" t="s">
        <v>355</v>
      </c>
      <c r="T150" s="119" t="s">
        <v>394</v>
      </c>
      <c r="U150" s="119" t="s">
        <v>353</v>
      </c>
      <c r="V150" s="147"/>
      <c r="W150" s="148" t="s">
        <v>346</v>
      </c>
      <c r="X150" s="148" t="s">
        <v>395</v>
      </c>
      <c r="Y150" s="3">
        <v>40483</v>
      </c>
      <c r="Z150" s="146">
        <v>1.45</v>
      </c>
      <c r="AA150" s="1">
        <f t="shared" si="12"/>
        <v>1.0145</v>
      </c>
      <c r="AB150" s="2">
        <f t="shared" si="14"/>
        <v>1.0638772216722512</v>
      </c>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row>
    <row r="151" spans="1:69" ht="20.25" customHeight="1">
      <c r="A151" s="188">
        <f t="shared" si="13"/>
        <v>30</v>
      </c>
      <c r="B151" s="136" t="s">
        <v>335</v>
      </c>
      <c r="C151" s="136">
        <v>30</v>
      </c>
      <c r="D151" s="137">
        <v>2009</v>
      </c>
      <c r="G151" s="138">
        <v>7998032.66</v>
      </c>
      <c r="H151" s="139">
        <f>G151</f>
        <v>7998032.66</v>
      </c>
      <c r="I151" s="123">
        <f>AB134</f>
        <v>1.1532474866381115</v>
      </c>
      <c r="J151" s="19">
        <f t="shared" si="15"/>
        <v>9223711.06319453</v>
      </c>
      <c r="K151" s="106">
        <v>40018</v>
      </c>
      <c r="L151" s="140"/>
      <c r="M151" s="106"/>
      <c r="N151" s="104" t="s">
        <v>101</v>
      </c>
      <c r="O151" s="136"/>
      <c r="P151" s="136" t="s">
        <v>345</v>
      </c>
      <c r="Q151" s="136" t="s">
        <v>344</v>
      </c>
      <c r="R151" s="106">
        <v>40836</v>
      </c>
      <c r="S151" s="104" t="s">
        <v>355</v>
      </c>
      <c r="T151" s="104" t="s">
        <v>396</v>
      </c>
      <c r="U151" s="119" t="s">
        <v>351</v>
      </c>
      <c r="V151" s="142"/>
      <c r="W151" s="142"/>
      <c r="X151" s="142"/>
      <c r="Y151" s="3">
        <v>40513</v>
      </c>
      <c r="Z151" s="146">
        <v>0.69</v>
      </c>
      <c r="AA151" s="1">
        <f t="shared" si="12"/>
        <v>1.0069</v>
      </c>
      <c r="AB151" s="2">
        <f t="shared" si="14"/>
        <v>1.0486714851377539</v>
      </c>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row>
    <row r="152" spans="1:69" ht="20.25" customHeight="1">
      <c r="A152" s="188">
        <f t="shared" si="13"/>
        <v>31</v>
      </c>
      <c r="B152" s="118" t="s">
        <v>335</v>
      </c>
      <c r="C152" s="118">
        <v>31</v>
      </c>
      <c r="D152" s="131">
        <v>2009</v>
      </c>
      <c r="G152" s="103">
        <v>11520000</v>
      </c>
      <c r="H152" s="122">
        <v>11520000</v>
      </c>
      <c r="I152" s="123">
        <f>AB135</f>
        <v>1.1582278664639063</v>
      </c>
      <c r="J152" s="19">
        <f t="shared" si="15"/>
        <v>13342785.0216642</v>
      </c>
      <c r="K152" s="124">
        <v>40030</v>
      </c>
      <c r="L152" s="125">
        <v>40136</v>
      </c>
      <c r="M152" s="124"/>
      <c r="N152" s="104" t="s">
        <v>195</v>
      </c>
      <c r="O152" s="118"/>
      <c r="P152" s="118" t="s">
        <v>344</v>
      </c>
      <c r="Q152" s="118" t="s">
        <v>345</v>
      </c>
      <c r="R152" s="124"/>
      <c r="S152" s="104"/>
      <c r="T152" s="119"/>
      <c r="U152" s="119" t="s">
        <v>353</v>
      </c>
      <c r="V152" s="128"/>
      <c r="W152" s="128"/>
      <c r="X152" s="128"/>
      <c r="Y152" s="3">
        <v>40544</v>
      </c>
      <c r="Z152" s="146">
        <v>0.79</v>
      </c>
      <c r="AA152" s="1">
        <f t="shared" si="12"/>
        <v>1.0079</v>
      </c>
      <c r="AB152" s="2">
        <f t="shared" si="14"/>
        <v>1.0414852370024372</v>
      </c>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row>
    <row r="153" spans="1:32" s="142" customFormat="1" ht="20.25" customHeight="1">
      <c r="A153" s="188">
        <f t="shared" si="13"/>
        <v>32</v>
      </c>
      <c r="B153" s="118" t="s">
        <v>335</v>
      </c>
      <c r="C153" s="118">
        <v>32</v>
      </c>
      <c r="D153" s="131">
        <v>2009</v>
      </c>
      <c r="E153" s="18"/>
      <c r="F153" s="18"/>
      <c r="G153" s="103">
        <v>28337.94</v>
      </c>
      <c r="H153" s="122">
        <v>28337.94</v>
      </c>
      <c r="I153" s="123">
        <f>AB135</f>
        <v>1.1582278664639063</v>
      </c>
      <c r="J153" s="19">
        <f t="shared" si="15"/>
        <v>32821.791786182184</v>
      </c>
      <c r="K153" s="124">
        <v>40032</v>
      </c>
      <c r="L153" s="125">
        <v>40141</v>
      </c>
      <c r="M153" s="124">
        <v>40637</v>
      </c>
      <c r="N153" s="104" t="s">
        <v>195</v>
      </c>
      <c r="O153" s="118"/>
      <c r="P153" s="118" t="s">
        <v>344</v>
      </c>
      <c r="Q153" s="118" t="s">
        <v>345</v>
      </c>
      <c r="R153" s="124"/>
      <c r="S153" s="104"/>
      <c r="T153" s="119"/>
      <c r="U153" s="119"/>
      <c r="V153" s="128"/>
      <c r="W153" s="128"/>
      <c r="X153" s="128"/>
      <c r="Y153" s="3">
        <v>40575</v>
      </c>
      <c r="Z153" s="146">
        <v>1</v>
      </c>
      <c r="AA153" s="1">
        <f t="shared" si="12"/>
        <v>1.01</v>
      </c>
      <c r="AB153" s="2">
        <f t="shared" si="14"/>
        <v>1.033321993255717</v>
      </c>
      <c r="AC153"/>
      <c r="AD153"/>
      <c r="AE153"/>
      <c r="AF153"/>
    </row>
    <row r="154" spans="1:32" s="142" customFormat="1" ht="20.25" customHeight="1">
      <c r="A154" s="188">
        <f t="shared" si="13"/>
        <v>33</v>
      </c>
      <c r="B154" s="118" t="s">
        <v>335</v>
      </c>
      <c r="C154" s="118">
        <v>33</v>
      </c>
      <c r="D154" s="131">
        <v>2009</v>
      </c>
      <c r="E154" s="18"/>
      <c r="F154" s="18"/>
      <c r="G154" s="103">
        <v>10000000</v>
      </c>
      <c r="H154" s="122">
        <v>10000000</v>
      </c>
      <c r="I154" s="123">
        <f>AB135</f>
        <v>1.1582278664639063</v>
      </c>
      <c r="J154" s="19">
        <f t="shared" si="15"/>
        <v>11582278.664639063</v>
      </c>
      <c r="K154" s="124">
        <v>40037</v>
      </c>
      <c r="L154" s="125">
        <v>40037</v>
      </c>
      <c r="M154" s="124"/>
      <c r="N154" s="104" t="s">
        <v>101</v>
      </c>
      <c r="O154" s="118"/>
      <c r="P154" s="118" t="s">
        <v>344</v>
      </c>
      <c r="Q154" s="136" t="s">
        <v>345</v>
      </c>
      <c r="R154" s="134">
        <v>40870</v>
      </c>
      <c r="S154" s="104" t="s">
        <v>379</v>
      </c>
      <c r="T154" s="119" t="s">
        <v>380</v>
      </c>
      <c r="U154" s="119" t="s">
        <v>353</v>
      </c>
      <c r="V154" s="128"/>
      <c r="W154" s="128"/>
      <c r="X154" s="128"/>
      <c r="Y154" s="3">
        <v>40603</v>
      </c>
      <c r="Z154" s="146">
        <v>0.62</v>
      </c>
      <c r="AA154" s="1">
        <f t="shared" si="12"/>
        <v>1.0062</v>
      </c>
      <c r="AB154" s="2">
        <f t="shared" si="14"/>
        <v>1.023091082431403</v>
      </c>
      <c r="AC154"/>
      <c r="AD154"/>
      <c r="AE154"/>
      <c r="AF154"/>
    </row>
    <row r="155" spans="1:32" s="142" customFormat="1" ht="20.25" customHeight="1">
      <c r="A155" s="188">
        <f t="shared" si="13"/>
        <v>34</v>
      </c>
      <c r="B155" s="118" t="s">
        <v>335</v>
      </c>
      <c r="C155" s="118">
        <v>34</v>
      </c>
      <c r="D155" s="131">
        <v>2009</v>
      </c>
      <c r="E155" s="18"/>
      <c r="F155" s="18"/>
      <c r="G155" s="103">
        <v>7538743.75</v>
      </c>
      <c r="H155" s="122">
        <v>7538743.75</v>
      </c>
      <c r="I155" s="123">
        <f>AB135</f>
        <v>1.1582278664639063</v>
      </c>
      <c r="J155" s="19">
        <f t="shared" si="15"/>
        <v>8731583.089380609</v>
      </c>
      <c r="K155" s="124">
        <v>40037</v>
      </c>
      <c r="L155" s="125"/>
      <c r="M155" s="124"/>
      <c r="N155" s="104" t="s">
        <v>300</v>
      </c>
      <c r="O155" s="118"/>
      <c r="P155" s="118" t="s">
        <v>344</v>
      </c>
      <c r="Q155" s="118" t="s">
        <v>345</v>
      </c>
      <c r="R155" s="124"/>
      <c r="S155" s="104"/>
      <c r="T155" s="119" t="s">
        <v>397</v>
      </c>
      <c r="U155" s="119" t="s">
        <v>369</v>
      </c>
      <c r="V155" s="128"/>
      <c r="W155" s="128"/>
      <c r="X155" s="128"/>
      <c r="Y155" s="3">
        <v>40634</v>
      </c>
      <c r="Z155" s="146">
        <v>0.45</v>
      </c>
      <c r="AA155" s="1">
        <f t="shared" si="12"/>
        <v>1.0045</v>
      </c>
      <c r="AB155" s="2">
        <f t="shared" si="14"/>
        <v>1.0167870030127242</v>
      </c>
      <c r="AC155"/>
      <c r="AD155"/>
      <c r="AE155"/>
      <c r="AF155"/>
    </row>
    <row r="156" spans="1:69" ht="20.25" customHeight="1">
      <c r="A156" s="188">
        <f t="shared" si="13"/>
        <v>35</v>
      </c>
      <c r="B156" s="118" t="s">
        <v>335</v>
      </c>
      <c r="C156" s="118">
        <v>35</v>
      </c>
      <c r="D156" s="120">
        <v>2009</v>
      </c>
      <c r="G156" s="103">
        <v>250000</v>
      </c>
      <c r="H156" s="122">
        <v>250000</v>
      </c>
      <c r="I156" s="123">
        <f>AB135</f>
        <v>1.1582278664639063</v>
      </c>
      <c r="J156" s="19">
        <f t="shared" si="15"/>
        <v>289556.9666159766</v>
      </c>
      <c r="K156" s="124">
        <v>40056</v>
      </c>
      <c r="L156" s="125">
        <v>40086</v>
      </c>
      <c r="M156" s="124">
        <v>40345</v>
      </c>
      <c r="N156" s="104" t="s">
        <v>195</v>
      </c>
      <c r="O156" s="118">
        <f>M156-K156</f>
        <v>289</v>
      </c>
      <c r="P156" s="118" t="s">
        <v>344</v>
      </c>
      <c r="Q156" s="118" t="s">
        <v>345</v>
      </c>
      <c r="R156" s="124"/>
      <c r="S156" s="104" t="s">
        <v>398</v>
      </c>
      <c r="T156" s="119" t="s">
        <v>399</v>
      </c>
      <c r="U156" s="149"/>
      <c r="V156" s="128"/>
      <c r="W156" s="128"/>
      <c r="X156" s="128"/>
      <c r="Y156" s="3">
        <v>40664</v>
      </c>
      <c r="Z156" s="146">
        <v>0.43</v>
      </c>
      <c r="AA156" s="1">
        <f t="shared" si="12"/>
        <v>1.0043</v>
      </c>
      <c r="AB156" s="2">
        <f t="shared" si="14"/>
        <v>1.0122319591963407</v>
      </c>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row>
    <row r="157" spans="1:69" ht="20.25" customHeight="1">
      <c r="A157" s="188">
        <f t="shared" si="13"/>
        <v>36</v>
      </c>
      <c r="B157" s="118" t="s">
        <v>335</v>
      </c>
      <c r="C157" s="118">
        <v>36</v>
      </c>
      <c r="D157" s="131">
        <v>2009</v>
      </c>
      <c r="G157" s="103">
        <v>1414549.2</v>
      </c>
      <c r="H157" s="122">
        <v>1414549.2</v>
      </c>
      <c r="I157" s="123">
        <f>AB136</f>
        <v>1.1624125516498458</v>
      </c>
      <c r="J157" s="19">
        <f t="shared" si="15"/>
        <v>1644289.7450062481</v>
      </c>
      <c r="K157" s="124">
        <v>40058</v>
      </c>
      <c r="L157" s="125">
        <v>40154</v>
      </c>
      <c r="M157" s="124">
        <v>40597</v>
      </c>
      <c r="N157" s="104" t="s">
        <v>195</v>
      </c>
      <c r="O157" s="118"/>
      <c r="P157" s="118" t="s">
        <v>344</v>
      </c>
      <c r="Q157" s="118" t="s">
        <v>345</v>
      </c>
      <c r="R157" s="124"/>
      <c r="S157" s="104"/>
      <c r="T157" s="119" t="s">
        <v>400</v>
      </c>
      <c r="U157" s="119"/>
      <c r="V157" s="128"/>
      <c r="W157" s="128"/>
      <c r="X157" s="128"/>
      <c r="Y157" s="3">
        <v>40695</v>
      </c>
      <c r="Z157" s="146">
        <v>-0.18</v>
      </c>
      <c r="AA157" s="1">
        <f t="shared" si="12"/>
        <v>0.9982</v>
      </c>
      <c r="AB157" s="2">
        <f t="shared" si="14"/>
        <v>1.0078979978057758</v>
      </c>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row>
    <row r="158" spans="1:69" ht="20.25" customHeight="1">
      <c r="A158" s="188">
        <f t="shared" si="13"/>
        <v>37</v>
      </c>
      <c r="B158" s="136" t="s">
        <v>335</v>
      </c>
      <c r="C158" s="136">
        <v>37</v>
      </c>
      <c r="D158" s="137">
        <v>2009</v>
      </c>
      <c r="G158" s="138">
        <v>3295315.3</v>
      </c>
      <c r="H158" s="139">
        <f aca="true" t="shared" si="17" ref="H158:H163">G158</f>
        <v>3295315.3</v>
      </c>
      <c r="I158" s="123">
        <f>AB136</f>
        <v>1.1624125516498458</v>
      </c>
      <c r="J158" s="19">
        <f t="shared" si="15"/>
        <v>3830515.866363777</v>
      </c>
      <c r="K158" s="106">
        <v>40072</v>
      </c>
      <c r="L158" s="140">
        <v>40086</v>
      </c>
      <c r="M158" s="106"/>
      <c r="N158" s="104" t="s">
        <v>101</v>
      </c>
      <c r="O158" s="136"/>
      <c r="P158" s="136" t="s">
        <v>345</v>
      </c>
      <c r="Q158" s="136" t="s">
        <v>344</v>
      </c>
      <c r="R158" s="106">
        <v>40851</v>
      </c>
      <c r="S158" s="104" t="s">
        <v>355</v>
      </c>
      <c r="T158" s="104" t="s">
        <v>401</v>
      </c>
      <c r="U158" s="119" t="s">
        <v>351</v>
      </c>
      <c r="V158" s="142"/>
      <c r="W158" s="142"/>
      <c r="X158" s="142"/>
      <c r="Y158" s="3">
        <v>40725</v>
      </c>
      <c r="Z158" s="146">
        <v>-0.12</v>
      </c>
      <c r="AA158" s="1">
        <f t="shared" si="12"/>
        <v>0.9988</v>
      </c>
      <c r="AB158" s="2">
        <f t="shared" si="14"/>
        <v>1.00971548568</v>
      </c>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row>
    <row r="159" spans="1:69" ht="20.25" customHeight="1">
      <c r="A159" s="188">
        <f t="shared" si="13"/>
        <v>38</v>
      </c>
      <c r="B159" s="136" t="s">
        <v>335</v>
      </c>
      <c r="C159" s="136">
        <v>38</v>
      </c>
      <c r="D159" s="137">
        <v>2009</v>
      </c>
      <c r="G159" s="138">
        <v>500000000</v>
      </c>
      <c r="H159" s="139">
        <f t="shared" si="17"/>
        <v>500000000</v>
      </c>
      <c r="I159" s="123">
        <f>AB136</f>
        <v>1.1624125516498458</v>
      </c>
      <c r="J159" s="19">
        <f t="shared" si="15"/>
        <v>581206275.8249229</v>
      </c>
      <c r="K159" s="106">
        <v>40067</v>
      </c>
      <c r="L159" s="140">
        <v>40140</v>
      </c>
      <c r="M159" s="106"/>
      <c r="N159" s="104" t="s">
        <v>101</v>
      </c>
      <c r="O159" s="136"/>
      <c r="P159" s="136" t="s">
        <v>345</v>
      </c>
      <c r="Q159" s="136" t="s">
        <v>344</v>
      </c>
      <c r="R159" s="106">
        <v>40955</v>
      </c>
      <c r="S159" s="104" t="s">
        <v>402</v>
      </c>
      <c r="T159" s="104" t="s">
        <v>403</v>
      </c>
      <c r="U159" s="119" t="s">
        <v>351</v>
      </c>
      <c r="V159" s="142"/>
      <c r="W159" s="142"/>
      <c r="X159" s="142"/>
      <c r="Y159" s="3">
        <v>40756</v>
      </c>
      <c r="Z159" s="146">
        <v>0.44</v>
      </c>
      <c r="AA159" s="1">
        <f t="shared" si="12"/>
        <v>1.0044</v>
      </c>
      <c r="AB159" s="2">
        <f t="shared" si="14"/>
        <v>1.0109286</v>
      </c>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row>
    <row r="160" spans="1:32" s="142" customFormat="1" ht="20.25" customHeight="1">
      <c r="A160" s="188">
        <f t="shared" si="13"/>
        <v>39</v>
      </c>
      <c r="B160" s="118" t="s">
        <v>335</v>
      </c>
      <c r="C160" s="118">
        <v>39</v>
      </c>
      <c r="D160" s="120">
        <v>2009</v>
      </c>
      <c r="E160" s="18"/>
      <c r="F160" s="18"/>
      <c r="G160" s="103">
        <v>192000</v>
      </c>
      <c r="H160" s="122">
        <f t="shared" si="17"/>
        <v>192000</v>
      </c>
      <c r="I160" s="123">
        <f>AB136</f>
        <v>1.1624125516498458</v>
      </c>
      <c r="J160" s="19">
        <f t="shared" si="15"/>
        <v>223183.2099167704</v>
      </c>
      <c r="K160" s="124">
        <v>40074</v>
      </c>
      <c r="L160" s="125">
        <v>40114</v>
      </c>
      <c r="M160" s="124">
        <v>40239</v>
      </c>
      <c r="N160" s="104" t="s">
        <v>195</v>
      </c>
      <c r="O160" s="118">
        <f>M160-K160</f>
        <v>165</v>
      </c>
      <c r="P160" s="118"/>
      <c r="Q160" s="118"/>
      <c r="R160" s="124"/>
      <c r="S160" s="127"/>
      <c r="T160" s="118"/>
      <c r="U160" s="118"/>
      <c r="V160" s="128"/>
      <c r="W160" s="128"/>
      <c r="X160" s="128"/>
      <c r="Y160" s="3">
        <v>40787</v>
      </c>
      <c r="Z160" s="146">
        <v>0.65</v>
      </c>
      <c r="AA160" s="1">
        <f t="shared" si="12"/>
        <v>1.0065</v>
      </c>
      <c r="AB160" s="2">
        <f t="shared" si="14"/>
        <v>1.0065</v>
      </c>
      <c r="AC160"/>
      <c r="AD160"/>
      <c r="AE160"/>
      <c r="AF160"/>
    </row>
    <row r="161" spans="1:69" ht="20.25" customHeight="1">
      <c r="A161" s="188">
        <f t="shared" si="13"/>
        <v>40</v>
      </c>
      <c r="B161" s="118" t="s">
        <v>335</v>
      </c>
      <c r="C161" s="118">
        <v>40</v>
      </c>
      <c r="D161" s="131">
        <v>2009</v>
      </c>
      <c r="G161" s="103">
        <v>5095336.64</v>
      </c>
      <c r="H161" s="122">
        <f t="shared" si="17"/>
        <v>5095336.64</v>
      </c>
      <c r="I161" s="123">
        <f>AB136</f>
        <v>1.1624125516498458</v>
      </c>
      <c r="J161" s="19">
        <f t="shared" si="15"/>
        <v>5922883.265217352</v>
      </c>
      <c r="K161" s="124">
        <v>40078</v>
      </c>
      <c r="L161" s="125"/>
      <c r="M161" s="124">
        <v>40144</v>
      </c>
      <c r="N161" s="104" t="s">
        <v>183</v>
      </c>
      <c r="O161" s="118">
        <f>M161-K161</f>
        <v>66</v>
      </c>
      <c r="P161" s="118"/>
      <c r="Q161" s="118"/>
      <c r="R161" s="124"/>
      <c r="S161" s="127"/>
      <c r="T161" s="118"/>
      <c r="U161" s="118"/>
      <c r="V161" s="128"/>
      <c r="W161" s="128"/>
      <c r="X161" s="128"/>
      <c r="Y161" s="3">
        <v>40817</v>
      </c>
      <c r="Z161" s="146">
        <v>0</v>
      </c>
      <c r="AA161" s="1">
        <f t="shared" si="12"/>
        <v>1</v>
      </c>
      <c r="AB161" s="1">
        <f>AA161</f>
        <v>1</v>
      </c>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row>
    <row r="162" spans="1:69" ht="20.25" customHeight="1">
      <c r="A162" s="188">
        <f t="shared" si="13"/>
        <v>41</v>
      </c>
      <c r="B162" s="118" t="s">
        <v>335</v>
      </c>
      <c r="C162" s="118">
        <v>41</v>
      </c>
      <c r="D162" s="131">
        <v>2009</v>
      </c>
      <c r="G162" s="103">
        <v>117003844.07</v>
      </c>
      <c r="H162" s="122">
        <f t="shared" si="17"/>
        <v>117003844.07</v>
      </c>
      <c r="I162" s="123">
        <f>AB137</f>
        <v>1.157550838129701</v>
      </c>
      <c r="J162" s="19">
        <f t="shared" si="15"/>
        <v>135437897.76762533</v>
      </c>
      <c r="K162" s="124">
        <v>40088</v>
      </c>
      <c r="L162" s="125">
        <v>39853</v>
      </c>
      <c r="M162" s="124">
        <v>40486</v>
      </c>
      <c r="N162" s="104" t="s">
        <v>195</v>
      </c>
      <c r="O162" s="118">
        <f>M162-K162</f>
        <v>398</v>
      </c>
      <c r="P162" s="118" t="s">
        <v>345</v>
      </c>
      <c r="Q162" s="118" t="s">
        <v>344</v>
      </c>
      <c r="R162" s="124"/>
      <c r="S162" s="104"/>
      <c r="T162" s="119" t="s">
        <v>404</v>
      </c>
      <c r="U162" s="119"/>
      <c r="V162" s="128"/>
      <c r="W162" s="128"/>
      <c r="X162" s="128"/>
      <c r="Y162" s="128"/>
      <c r="Z162" s="128"/>
      <c r="AA162" s="128"/>
      <c r="AB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row>
    <row r="163" spans="1:69" ht="20.25" customHeight="1">
      <c r="A163" s="188">
        <f t="shared" si="13"/>
        <v>42</v>
      </c>
      <c r="B163" s="118" t="s">
        <v>335</v>
      </c>
      <c r="C163" s="118">
        <v>42</v>
      </c>
      <c r="D163" s="131">
        <v>2009</v>
      </c>
      <c r="G163" s="103">
        <v>185000</v>
      </c>
      <c r="H163" s="122">
        <f t="shared" si="17"/>
        <v>185000</v>
      </c>
      <c r="I163" s="123">
        <f>AB137</f>
        <v>1.157550838129701</v>
      </c>
      <c r="J163" s="19">
        <f t="shared" si="15"/>
        <v>214146.9050539947</v>
      </c>
      <c r="K163" s="124">
        <v>40101</v>
      </c>
      <c r="L163" s="125"/>
      <c r="M163" s="124">
        <v>40316</v>
      </c>
      <c r="N163" s="104" t="s">
        <v>183</v>
      </c>
      <c r="O163" s="118">
        <f>M163-K163</f>
        <v>215</v>
      </c>
      <c r="P163" s="118"/>
      <c r="Q163" s="118"/>
      <c r="R163" s="124"/>
      <c r="S163" s="127"/>
      <c r="T163" s="118"/>
      <c r="U163" s="118"/>
      <c r="V163" s="128"/>
      <c r="W163" s="128"/>
      <c r="X163" s="128"/>
      <c r="Y163" s="128"/>
      <c r="Z163" s="128"/>
      <c r="AA163" s="128"/>
      <c r="AB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row>
    <row r="164" spans="1:69" ht="20.25" customHeight="1">
      <c r="A164" s="188">
        <f t="shared" si="13"/>
        <v>43</v>
      </c>
      <c r="B164" s="118" t="s">
        <v>335</v>
      </c>
      <c r="C164" s="118">
        <v>43</v>
      </c>
      <c r="D164" s="131">
        <v>2009</v>
      </c>
      <c r="G164" s="103">
        <v>8000000</v>
      </c>
      <c r="H164" s="122">
        <v>8000000</v>
      </c>
      <c r="I164" s="123">
        <f>AB138</f>
        <v>1.1569723519537243</v>
      </c>
      <c r="J164" s="19">
        <f t="shared" si="15"/>
        <v>9255778.815629793</v>
      </c>
      <c r="K164" s="124">
        <v>40120</v>
      </c>
      <c r="L164" s="125"/>
      <c r="M164" s="124"/>
      <c r="N164" s="104" t="s">
        <v>101</v>
      </c>
      <c r="O164" s="118"/>
      <c r="P164" s="118" t="s">
        <v>344</v>
      </c>
      <c r="Q164" s="118" t="s">
        <v>345</v>
      </c>
      <c r="R164" s="124">
        <v>40851</v>
      </c>
      <c r="S164" s="104" t="s">
        <v>355</v>
      </c>
      <c r="T164" s="104" t="s">
        <v>381</v>
      </c>
      <c r="U164" s="119" t="s">
        <v>353</v>
      </c>
      <c r="V164" s="128"/>
      <c r="W164" s="128"/>
      <c r="X164" s="128"/>
      <c r="Y164" s="128"/>
      <c r="Z164" s="128"/>
      <c r="AA164" s="128"/>
      <c r="AB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row>
    <row r="165" spans="1:69" ht="20.25" customHeight="1">
      <c r="A165" s="188">
        <f t="shared" si="13"/>
        <v>44</v>
      </c>
      <c r="B165" s="118" t="s">
        <v>335</v>
      </c>
      <c r="C165" s="118">
        <v>44</v>
      </c>
      <c r="D165" s="131">
        <v>2009</v>
      </c>
      <c r="G165" s="103">
        <v>40000000</v>
      </c>
      <c r="H165" s="122">
        <f>G165</f>
        <v>40000000</v>
      </c>
      <c r="I165" s="123">
        <f>AB138</f>
        <v>1.1569723519537243</v>
      </c>
      <c r="J165" s="19">
        <f t="shared" si="15"/>
        <v>46278894.07814897</v>
      </c>
      <c r="K165" s="124">
        <v>40126</v>
      </c>
      <c r="L165" s="125"/>
      <c r="M165" s="124">
        <v>40235</v>
      </c>
      <c r="N165" s="104" t="s">
        <v>183</v>
      </c>
      <c r="O165" s="118">
        <f>M165-K165</f>
        <v>109</v>
      </c>
      <c r="P165" s="118"/>
      <c r="Q165" s="118"/>
      <c r="R165" s="124"/>
      <c r="S165" s="127"/>
      <c r="T165" s="118"/>
      <c r="U165" s="118"/>
      <c r="V165" s="128"/>
      <c r="W165" s="128"/>
      <c r="X165" s="128"/>
      <c r="Y165" s="128"/>
      <c r="Z165" s="128"/>
      <c r="AA165" s="128"/>
      <c r="AB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row>
    <row r="166" spans="1:69" ht="20.25" customHeight="1">
      <c r="A166" s="188">
        <f t="shared" si="13"/>
        <v>45</v>
      </c>
      <c r="B166" s="136" t="s">
        <v>335</v>
      </c>
      <c r="C166" s="136">
        <v>45</v>
      </c>
      <c r="D166" s="137">
        <v>2009</v>
      </c>
      <c r="G166" s="138">
        <v>23100000</v>
      </c>
      <c r="H166" s="139">
        <f>G166</f>
        <v>23100000</v>
      </c>
      <c r="I166" s="123">
        <f>AB138</f>
        <v>1.1569723519537243</v>
      </c>
      <c r="J166" s="19">
        <f t="shared" si="15"/>
        <v>26726061.33013103</v>
      </c>
      <c r="K166" s="106">
        <v>40134</v>
      </c>
      <c r="L166" s="140">
        <v>40214</v>
      </c>
      <c r="M166" s="106"/>
      <c r="N166" s="104" t="s">
        <v>101</v>
      </c>
      <c r="O166" s="136"/>
      <c r="P166" s="136" t="s">
        <v>345</v>
      </c>
      <c r="Q166" s="136" t="s">
        <v>344</v>
      </c>
      <c r="R166" s="106">
        <v>40840</v>
      </c>
      <c r="S166" s="104" t="s">
        <v>346</v>
      </c>
      <c r="T166" s="104" t="s">
        <v>405</v>
      </c>
      <c r="U166" s="119" t="s">
        <v>351</v>
      </c>
      <c r="V166" s="142"/>
      <c r="W166" s="142"/>
      <c r="X166" s="142"/>
      <c r="Y166" s="128"/>
      <c r="Z166" s="128"/>
      <c r="AA166" s="128"/>
      <c r="AB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row>
    <row r="167" spans="1:32" s="142" customFormat="1" ht="20.25" customHeight="1">
      <c r="A167" s="188">
        <f t="shared" si="13"/>
        <v>46</v>
      </c>
      <c r="B167" s="136" t="s">
        <v>335</v>
      </c>
      <c r="C167" s="136">
        <v>46</v>
      </c>
      <c r="D167" s="137">
        <v>2009</v>
      </c>
      <c r="E167" s="18"/>
      <c r="F167" s="18"/>
      <c r="G167" s="150">
        <v>14000000</v>
      </c>
      <c r="H167" s="151">
        <v>14000000</v>
      </c>
      <c r="I167" s="123">
        <f>AB138</f>
        <v>1.1569723519537243</v>
      </c>
      <c r="J167" s="19">
        <f t="shared" si="15"/>
        <v>16197612.92735214</v>
      </c>
      <c r="K167" s="106">
        <v>40142</v>
      </c>
      <c r="L167" s="140">
        <v>40213</v>
      </c>
      <c r="M167" s="106"/>
      <c r="N167" s="104" t="s">
        <v>101</v>
      </c>
      <c r="O167" s="136"/>
      <c r="P167" s="136" t="s">
        <v>345</v>
      </c>
      <c r="Q167" s="136" t="s">
        <v>344</v>
      </c>
      <c r="R167" s="106">
        <v>40845</v>
      </c>
      <c r="S167" s="104" t="s">
        <v>346</v>
      </c>
      <c r="T167" s="104" t="s">
        <v>406</v>
      </c>
      <c r="U167" s="119" t="s">
        <v>351</v>
      </c>
      <c r="AC167"/>
      <c r="AD167"/>
      <c r="AE167"/>
      <c r="AF167"/>
    </row>
    <row r="168" spans="1:32" s="142" customFormat="1" ht="20.25" customHeight="1">
      <c r="A168" s="188">
        <f t="shared" si="13"/>
        <v>47</v>
      </c>
      <c r="B168" s="136" t="s">
        <v>335</v>
      </c>
      <c r="C168" s="136">
        <v>47</v>
      </c>
      <c r="D168" s="137">
        <v>2009</v>
      </c>
      <c r="E168" s="18"/>
      <c r="F168" s="18"/>
      <c r="G168" s="138">
        <v>602960.04</v>
      </c>
      <c r="H168" s="139">
        <f>G168</f>
        <v>602960.04</v>
      </c>
      <c r="I168" s="123">
        <f>AB139</f>
        <v>1.155816535418306</v>
      </c>
      <c r="J168" s="19">
        <f t="shared" si="15"/>
        <v>696911.1844284832</v>
      </c>
      <c r="K168" s="106">
        <v>40156</v>
      </c>
      <c r="L168" s="140">
        <v>40409</v>
      </c>
      <c r="M168" s="106"/>
      <c r="N168" s="104" t="s">
        <v>101</v>
      </c>
      <c r="O168" s="136"/>
      <c r="P168" s="136" t="s">
        <v>345</v>
      </c>
      <c r="Q168" s="136" t="s">
        <v>344</v>
      </c>
      <c r="R168" s="144">
        <v>40842</v>
      </c>
      <c r="S168" s="104" t="s">
        <v>346</v>
      </c>
      <c r="T168" s="104" t="s">
        <v>407</v>
      </c>
      <c r="U168" s="119" t="s">
        <v>351</v>
      </c>
      <c r="AC168"/>
      <c r="AD168"/>
      <c r="AE168"/>
      <c r="AF168"/>
    </row>
    <row r="169" spans="1:69" ht="20.25" customHeight="1">
      <c r="A169" s="188">
        <f t="shared" si="13"/>
        <v>48</v>
      </c>
      <c r="B169" s="118" t="s">
        <v>335</v>
      </c>
      <c r="C169" s="118">
        <v>48</v>
      </c>
      <c r="D169" s="131">
        <v>2009</v>
      </c>
      <c r="G169" s="103">
        <v>476773.11</v>
      </c>
      <c r="H169" s="122">
        <v>476773.11</v>
      </c>
      <c r="I169" s="123">
        <f>AB139</f>
        <v>1.155816535418306</v>
      </c>
      <c r="J169" s="19">
        <f t="shared" si="15"/>
        <v>551062.244180811</v>
      </c>
      <c r="K169" s="124">
        <v>40158</v>
      </c>
      <c r="L169" s="125"/>
      <c r="M169" s="124"/>
      <c r="N169" s="104" t="s">
        <v>304</v>
      </c>
      <c r="O169" s="118"/>
      <c r="P169" s="118" t="s">
        <v>344</v>
      </c>
      <c r="Q169" s="118" t="s">
        <v>345</v>
      </c>
      <c r="R169" s="124">
        <v>41000</v>
      </c>
      <c r="S169" s="104" t="s">
        <v>355</v>
      </c>
      <c r="T169" s="119" t="s">
        <v>408</v>
      </c>
      <c r="U169" s="119" t="s">
        <v>369</v>
      </c>
      <c r="V169" s="128"/>
      <c r="W169" s="128"/>
      <c r="X169" s="128"/>
      <c r="Y169" s="128"/>
      <c r="Z169" s="128"/>
      <c r="AA169" s="128"/>
      <c r="AB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row>
    <row r="170" spans="1:69" ht="20.25" customHeight="1">
      <c r="A170" s="188">
        <f t="shared" si="13"/>
        <v>49</v>
      </c>
      <c r="B170" s="118" t="s">
        <v>335</v>
      </c>
      <c r="C170" s="118">
        <v>49</v>
      </c>
      <c r="D170" s="131">
        <v>2009</v>
      </c>
      <c r="G170" s="103">
        <v>18000000</v>
      </c>
      <c r="H170" s="122">
        <v>18000000</v>
      </c>
      <c r="I170" s="123">
        <f>AB139</f>
        <v>1.155816535418306</v>
      </c>
      <c r="J170" s="19">
        <f t="shared" si="15"/>
        <v>20804697.63752951</v>
      </c>
      <c r="K170" s="124">
        <v>40169</v>
      </c>
      <c r="L170" s="125">
        <v>40169</v>
      </c>
      <c r="M170" s="124"/>
      <c r="N170" s="104" t="s">
        <v>101</v>
      </c>
      <c r="O170" s="118"/>
      <c r="P170" s="118" t="s">
        <v>364</v>
      </c>
      <c r="Q170" s="118" t="s">
        <v>344</v>
      </c>
      <c r="R170" s="124">
        <v>40820</v>
      </c>
      <c r="S170" s="104" t="s">
        <v>355</v>
      </c>
      <c r="T170" s="119" t="s">
        <v>409</v>
      </c>
      <c r="U170" s="119" t="s">
        <v>351</v>
      </c>
      <c r="V170" s="128"/>
      <c r="W170" s="128"/>
      <c r="X170" s="128"/>
      <c r="Y170" s="128"/>
      <c r="Z170" s="128"/>
      <c r="AA170" s="128"/>
      <c r="AB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row>
    <row r="171" spans="1:69" ht="20.25" customHeight="1">
      <c r="A171" s="118">
        <v>1</v>
      </c>
      <c r="B171" s="118" t="s">
        <v>335</v>
      </c>
      <c r="C171" s="118">
        <v>1</v>
      </c>
      <c r="D171" s="131">
        <v>2010</v>
      </c>
      <c r="G171" s="103">
        <v>31306184.42</v>
      </c>
      <c r="H171" s="122">
        <v>31306184.42</v>
      </c>
      <c r="I171" s="123">
        <f>AB137</f>
        <v>1.157550838129701</v>
      </c>
      <c r="J171" s="19">
        <f t="shared" si="15"/>
        <v>36238500.01401399</v>
      </c>
      <c r="K171" s="124">
        <v>40106</v>
      </c>
      <c r="L171" s="125"/>
      <c r="M171" s="124"/>
      <c r="N171" s="104" t="s">
        <v>195</v>
      </c>
      <c r="O171" s="118"/>
      <c r="P171" s="118" t="s">
        <v>344</v>
      </c>
      <c r="Q171" s="118" t="s">
        <v>345</v>
      </c>
      <c r="R171" s="124">
        <v>40850</v>
      </c>
      <c r="S171" s="104" t="s">
        <v>410</v>
      </c>
      <c r="T171" s="119" t="s">
        <v>411</v>
      </c>
      <c r="U171" s="119" t="s">
        <v>353</v>
      </c>
      <c r="V171" s="128"/>
      <c r="W171" s="128"/>
      <c r="X171" s="128"/>
      <c r="Y171" s="128"/>
      <c r="Z171" s="128"/>
      <c r="AA171" s="128"/>
      <c r="AB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row>
    <row r="172" spans="1:69" ht="20.25" customHeight="1">
      <c r="A172" s="118">
        <f t="shared" si="13"/>
        <v>2</v>
      </c>
      <c r="B172" s="136" t="s">
        <v>335</v>
      </c>
      <c r="C172" s="136">
        <v>2</v>
      </c>
      <c r="D172" s="137">
        <v>2010</v>
      </c>
      <c r="G172" s="138">
        <v>17300000</v>
      </c>
      <c r="H172" s="139">
        <f>G172</f>
        <v>17300000</v>
      </c>
      <c r="I172" s="123">
        <f>AB140</f>
        <v>1.1588294920977604</v>
      </c>
      <c r="J172" s="19">
        <f t="shared" si="15"/>
        <v>20047750.213291254</v>
      </c>
      <c r="K172" s="106">
        <v>40192</v>
      </c>
      <c r="L172" s="140">
        <v>40311</v>
      </c>
      <c r="M172" s="106"/>
      <c r="N172" s="104" t="s">
        <v>101</v>
      </c>
      <c r="O172" s="136"/>
      <c r="P172" s="136" t="s">
        <v>345</v>
      </c>
      <c r="Q172" s="136" t="s">
        <v>344</v>
      </c>
      <c r="R172" s="106">
        <v>40854</v>
      </c>
      <c r="S172" s="104" t="s">
        <v>355</v>
      </c>
      <c r="T172" s="104" t="s">
        <v>412</v>
      </c>
      <c r="U172" s="119" t="s">
        <v>351</v>
      </c>
      <c r="V172" s="142"/>
      <c r="W172" s="142"/>
      <c r="X172" s="142"/>
      <c r="Y172" s="128"/>
      <c r="Z172" s="128"/>
      <c r="AA172" s="128"/>
      <c r="AB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row>
    <row r="173" spans="1:69" ht="20.25" customHeight="1">
      <c r="A173" s="118">
        <f t="shared" si="13"/>
        <v>3</v>
      </c>
      <c r="B173" s="118" t="s">
        <v>335</v>
      </c>
      <c r="C173" s="118">
        <v>3</v>
      </c>
      <c r="D173" s="131">
        <v>2010</v>
      </c>
      <c r="G173" s="103">
        <v>50000000</v>
      </c>
      <c r="H173" s="122">
        <v>50000000</v>
      </c>
      <c r="I173" s="123">
        <f>AB141</f>
        <v>1.1515745722923187</v>
      </c>
      <c r="J173" s="19">
        <f t="shared" si="15"/>
        <v>57578728.61461594</v>
      </c>
      <c r="K173" s="124">
        <v>40219</v>
      </c>
      <c r="L173" s="125"/>
      <c r="M173" s="124"/>
      <c r="N173" s="104" t="s">
        <v>101</v>
      </c>
      <c r="O173" s="118"/>
      <c r="P173" s="118" t="s">
        <v>344</v>
      </c>
      <c r="Q173" s="118" t="s">
        <v>345</v>
      </c>
      <c r="R173" s="124">
        <v>40844</v>
      </c>
      <c r="S173" s="104" t="s">
        <v>382</v>
      </c>
      <c r="T173" s="119" t="s">
        <v>383</v>
      </c>
      <c r="U173" s="119" t="s">
        <v>353</v>
      </c>
      <c r="V173" s="128"/>
      <c r="W173" s="128"/>
      <c r="X173" s="128"/>
      <c r="Y173" s="128"/>
      <c r="Z173" s="128"/>
      <c r="AA173" s="128"/>
      <c r="AB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row>
    <row r="174" spans="1:69" ht="20.25" customHeight="1">
      <c r="A174" s="118">
        <f t="shared" si="13"/>
        <v>4</v>
      </c>
      <c r="B174" s="118" t="s">
        <v>335</v>
      </c>
      <c r="C174" s="118">
        <v>4</v>
      </c>
      <c r="D174" s="131">
        <v>2010</v>
      </c>
      <c r="G174" s="103">
        <v>25734000</v>
      </c>
      <c r="H174" s="122">
        <v>25734000</v>
      </c>
      <c r="I174" s="123">
        <f>AB141</f>
        <v>1.1515745722923187</v>
      </c>
      <c r="J174" s="19">
        <f t="shared" si="15"/>
        <v>29634620.04337053</v>
      </c>
      <c r="K174" s="124">
        <v>40220</v>
      </c>
      <c r="L174" s="125"/>
      <c r="M174" s="124"/>
      <c r="N174" s="104" t="s">
        <v>101</v>
      </c>
      <c r="O174" s="118"/>
      <c r="P174" s="118" t="s">
        <v>344</v>
      </c>
      <c r="Q174" s="118" t="s">
        <v>345</v>
      </c>
      <c r="R174" s="124">
        <v>40844</v>
      </c>
      <c r="S174" s="104" t="s">
        <v>346</v>
      </c>
      <c r="T174" s="104" t="s">
        <v>413</v>
      </c>
      <c r="U174" s="119" t="s">
        <v>369</v>
      </c>
      <c r="V174" s="128"/>
      <c r="W174" s="128"/>
      <c r="X174" s="128"/>
      <c r="Y174" s="128"/>
      <c r="Z174" s="128"/>
      <c r="AA174" s="128"/>
      <c r="AB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row>
    <row r="175" spans="1:32" s="142" customFormat="1" ht="20.25" customHeight="1">
      <c r="A175" s="118">
        <f t="shared" si="13"/>
        <v>5</v>
      </c>
      <c r="B175" s="136" t="s">
        <v>335</v>
      </c>
      <c r="C175" s="136">
        <v>5</v>
      </c>
      <c r="D175" s="137">
        <v>2010</v>
      </c>
      <c r="E175" s="18"/>
      <c r="F175" s="18"/>
      <c r="G175" s="138">
        <v>10000000</v>
      </c>
      <c r="H175" s="139">
        <f>G175</f>
        <v>10000000</v>
      </c>
      <c r="I175" s="123">
        <f>AB141</f>
        <v>1.1515745722923187</v>
      </c>
      <c r="J175" s="19">
        <f t="shared" si="15"/>
        <v>11515745.722923188</v>
      </c>
      <c r="K175" s="106">
        <v>40234</v>
      </c>
      <c r="L175" s="140">
        <v>40316</v>
      </c>
      <c r="M175" s="106"/>
      <c r="N175" s="104" t="s">
        <v>101</v>
      </c>
      <c r="O175" s="136"/>
      <c r="P175" s="136" t="s">
        <v>345</v>
      </c>
      <c r="Q175" s="136" t="s">
        <v>344</v>
      </c>
      <c r="R175" s="106">
        <v>40836</v>
      </c>
      <c r="S175" s="104" t="s">
        <v>346</v>
      </c>
      <c r="T175" s="104" t="s">
        <v>414</v>
      </c>
      <c r="U175" s="119" t="s">
        <v>351</v>
      </c>
      <c r="AC175"/>
      <c r="AD175"/>
      <c r="AE175"/>
      <c r="AF175"/>
    </row>
    <row r="176" spans="1:32" s="142" customFormat="1" ht="20.25" customHeight="1">
      <c r="A176" s="118">
        <f t="shared" si="13"/>
        <v>6</v>
      </c>
      <c r="B176" s="118" t="s">
        <v>335</v>
      </c>
      <c r="C176" s="118">
        <v>6</v>
      </c>
      <c r="D176" s="120">
        <v>2010</v>
      </c>
      <c r="E176" s="18"/>
      <c r="F176" s="18"/>
      <c r="G176" s="103">
        <v>3402153.21</v>
      </c>
      <c r="H176" s="122">
        <v>3402153.21</v>
      </c>
      <c r="I176" s="123">
        <f>AB141</f>
        <v>1.1515745722923187</v>
      </c>
      <c r="J176" s="19">
        <f t="shared" si="15"/>
        <v>3917833.127678689</v>
      </c>
      <c r="K176" s="124">
        <v>40234</v>
      </c>
      <c r="L176" s="125">
        <v>40234</v>
      </c>
      <c r="M176" s="124">
        <v>40287</v>
      </c>
      <c r="N176" s="104" t="s">
        <v>195</v>
      </c>
      <c r="O176" s="118">
        <f>M176-K176</f>
        <v>53</v>
      </c>
      <c r="P176" s="118" t="s">
        <v>344</v>
      </c>
      <c r="Q176" s="118" t="s">
        <v>345</v>
      </c>
      <c r="R176" s="124"/>
      <c r="S176" s="104"/>
      <c r="T176" s="119" t="s">
        <v>415</v>
      </c>
      <c r="U176" s="119"/>
      <c r="V176" s="128"/>
      <c r="W176" s="128"/>
      <c r="X176" s="128"/>
      <c r="AC176"/>
      <c r="AD176"/>
      <c r="AE176"/>
      <c r="AF176"/>
    </row>
    <row r="177" spans="1:32" s="142" customFormat="1" ht="20.25" customHeight="1">
      <c r="A177" s="118">
        <f t="shared" si="13"/>
        <v>7</v>
      </c>
      <c r="B177" s="136" t="s">
        <v>335</v>
      </c>
      <c r="C177" s="136">
        <v>7</v>
      </c>
      <c r="D177" s="137">
        <v>2010</v>
      </c>
      <c r="E177" s="18"/>
      <c r="F177" s="18"/>
      <c r="G177" s="138">
        <v>3000000</v>
      </c>
      <c r="H177" s="139">
        <f>G177</f>
        <v>3000000</v>
      </c>
      <c r="I177" s="123">
        <f>AB141</f>
        <v>1.1515745722923187</v>
      </c>
      <c r="J177" s="19">
        <f t="shared" si="15"/>
        <v>3454723.716876956</v>
      </c>
      <c r="K177" s="106">
        <v>40235</v>
      </c>
      <c r="L177" s="140">
        <v>40309</v>
      </c>
      <c r="M177" s="144" t="s">
        <v>416</v>
      </c>
      <c r="N177" s="104" t="s">
        <v>184</v>
      </c>
      <c r="O177" s="136"/>
      <c r="P177" s="136" t="s">
        <v>345</v>
      </c>
      <c r="Q177" s="136" t="s">
        <v>344</v>
      </c>
      <c r="R177" s="106">
        <v>40996</v>
      </c>
      <c r="S177" s="104" t="s">
        <v>355</v>
      </c>
      <c r="T177" s="104" t="s">
        <v>417</v>
      </c>
      <c r="U177" s="119" t="s">
        <v>351</v>
      </c>
      <c r="AC177"/>
      <c r="AD177"/>
      <c r="AE177"/>
      <c r="AF177"/>
    </row>
    <row r="178" spans="1:69" ht="20.25" customHeight="1">
      <c r="A178" s="118">
        <f t="shared" si="13"/>
        <v>8</v>
      </c>
      <c r="B178" s="136" t="s">
        <v>335</v>
      </c>
      <c r="C178" s="136">
        <v>8</v>
      </c>
      <c r="D178" s="137">
        <v>2010</v>
      </c>
      <c r="G178" s="138">
        <v>4000000</v>
      </c>
      <c r="H178" s="139">
        <f>G178</f>
        <v>4000000</v>
      </c>
      <c r="I178" s="123">
        <f>AB141</f>
        <v>1.1515745722923187</v>
      </c>
      <c r="J178" s="19">
        <f t="shared" si="15"/>
        <v>4606298.289169275</v>
      </c>
      <c r="K178" s="106">
        <v>40235</v>
      </c>
      <c r="L178" s="140">
        <v>40315</v>
      </c>
      <c r="M178" s="106"/>
      <c r="N178" s="104" t="s">
        <v>101</v>
      </c>
      <c r="O178" s="136"/>
      <c r="P178" s="136" t="s">
        <v>345</v>
      </c>
      <c r="Q178" s="136" t="s">
        <v>344</v>
      </c>
      <c r="R178" s="144">
        <v>40833</v>
      </c>
      <c r="S178" s="104" t="s">
        <v>346</v>
      </c>
      <c r="T178" s="104" t="s">
        <v>418</v>
      </c>
      <c r="U178" s="119" t="s">
        <v>351</v>
      </c>
      <c r="V178" s="142"/>
      <c r="W178" s="142"/>
      <c r="X178" s="142"/>
      <c r="Y178" s="128"/>
      <c r="Z178" s="128"/>
      <c r="AA178" s="128"/>
      <c r="AB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row>
    <row r="179" spans="1:69" ht="20.25" customHeight="1">
      <c r="A179" s="118">
        <f t="shared" si="13"/>
        <v>9</v>
      </c>
      <c r="B179" s="118" t="s">
        <v>335</v>
      </c>
      <c r="C179" s="118">
        <v>9</v>
      </c>
      <c r="D179" s="120">
        <v>2010</v>
      </c>
      <c r="G179" s="103">
        <v>13999200</v>
      </c>
      <c r="H179" s="122">
        <v>13999200</v>
      </c>
      <c r="I179" s="123">
        <f>AB142</f>
        <v>1.1381444675749344</v>
      </c>
      <c r="J179" s="19">
        <f t="shared" si="15"/>
        <v>15933112.03047502</v>
      </c>
      <c r="K179" s="124">
        <v>40238</v>
      </c>
      <c r="L179" s="125"/>
      <c r="M179" s="124">
        <v>40308</v>
      </c>
      <c r="N179" s="104" t="s">
        <v>195</v>
      </c>
      <c r="O179" s="118">
        <f>M179-K179</f>
        <v>70</v>
      </c>
      <c r="P179" s="118" t="s">
        <v>344</v>
      </c>
      <c r="Q179" s="118" t="s">
        <v>345</v>
      </c>
      <c r="R179" s="124"/>
      <c r="S179" s="104"/>
      <c r="T179" s="119" t="s">
        <v>312</v>
      </c>
      <c r="U179" s="119"/>
      <c r="V179" s="128"/>
      <c r="W179" s="128"/>
      <c r="X179" s="128"/>
      <c r="Y179" s="128"/>
      <c r="Z179" s="128"/>
      <c r="AA179" s="128"/>
      <c r="AB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row>
    <row r="180" spans="1:32" s="162" customFormat="1" ht="20.25" customHeight="1">
      <c r="A180" s="118">
        <f t="shared" si="13"/>
        <v>10</v>
      </c>
      <c r="B180" s="152" t="s">
        <v>335</v>
      </c>
      <c r="C180" s="152">
        <v>10</v>
      </c>
      <c r="D180" s="153">
        <v>2010</v>
      </c>
      <c r="E180" s="154"/>
      <c r="F180" s="154"/>
      <c r="G180" s="155">
        <v>1000000</v>
      </c>
      <c r="H180" s="156">
        <v>1000000</v>
      </c>
      <c r="I180" s="157">
        <f>AB142</f>
        <v>1.1381444675749344</v>
      </c>
      <c r="J180" s="158">
        <f t="shared" si="15"/>
        <v>1138144.4675749345</v>
      </c>
      <c r="K180" s="159">
        <v>40245</v>
      </c>
      <c r="L180" s="160">
        <v>40423</v>
      </c>
      <c r="M180" s="159">
        <v>40752</v>
      </c>
      <c r="N180" s="104" t="s">
        <v>305</v>
      </c>
      <c r="O180" s="152"/>
      <c r="P180" s="152" t="s">
        <v>344</v>
      </c>
      <c r="Q180" s="152" t="s">
        <v>345</v>
      </c>
      <c r="R180" s="159"/>
      <c r="S180" s="161"/>
      <c r="T180" s="161" t="s">
        <v>419</v>
      </c>
      <c r="U180" s="161" t="s">
        <v>420</v>
      </c>
      <c r="AC180" s="105"/>
      <c r="AD180" s="105"/>
      <c r="AE180" s="105"/>
      <c r="AF180" s="105"/>
    </row>
    <row r="181" spans="1:32" s="142" customFormat="1" ht="20.25" customHeight="1">
      <c r="A181" s="118">
        <f t="shared" si="13"/>
        <v>11</v>
      </c>
      <c r="B181" s="136" t="s">
        <v>335</v>
      </c>
      <c r="C181" s="136">
        <v>11</v>
      </c>
      <c r="D181" s="137">
        <v>2010</v>
      </c>
      <c r="E181" s="18"/>
      <c r="F181" s="18"/>
      <c r="G181" s="138">
        <v>18609903.89</v>
      </c>
      <c r="H181" s="139">
        <f>G181</f>
        <v>18609903.89</v>
      </c>
      <c r="I181" s="123">
        <f>AB142</f>
        <v>1.1381444675749344</v>
      </c>
      <c r="J181" s="19">
        <f t="shared" si="15"/>
        <v>21180759.15450475</v>
      </c>
      <c r="K181" s="106">
        <v>40256</v>
      </c>
      <c r="L181" s="140">
        <v>40319</v>
      </c>
      <c r="M181" s="106">
        <v>40765</v>
      </c>
      <c r="N181" s="104" t="s">
        <v>195</v>
      </c>
      <c r="O181" s="136"/>
      <c r="P181" s="136" t="s">
        <v>345</v>
      </c>
      <c r="Q181" s="136" t="s">
        <v>344</v>
      </c>
      <c r="R181" s="106">
        <v>40775</v>
      </c>
      <c r="S181" s="104" t="s">
        <v>391</v>
      </c>
      <c r="T181" s="104" t="s">
        <v>421</v>
      </c>
      <c r="U181" s="119" t="s">
        <v>422</v>
      </c>
      <c r="AC181"/>
      <c r="AD181"/>
      <c r="AE181"/>
      <c r="AF181"/>
    </row>
    <row r="182" spans="1:69" ht="20.25" customHeight="1">
      <c r="A182" s="118">
        <f t="shared" si="13"/>
        <v>12</v>
      </c>
      <c r="B182" s="118" t="s">
        <v>335</v>
      </c>
      <c r="C182" s="118">
        <v>12</v>
      </c>
      <c r="D182" s="131">
        <v>2010</v>
      </c>
      <c r="E182" s="129">
        <v>2000000</v>
      </c>
      <c r="F182" s="118">
        <v>1.71</v>
      </c>
      <c r="G182" s="103">
        <v>3420000</v>
      </c>
      <c r="H182" s="122">
        <v>3420000</v>
      </c>
      <c r="I182" s="123">
        <f>AB142</f>
        <v>1.1381444675749344</v>
      </c>
      <c r="J182" s="19">
        <f t="shared" si="15"/>
        <v>3892454.0791062755</v>
      </c>
      <c r="K182" s="124">
        <v>40259</v>
      </c>
      <c r="L182" s="125"/>
      <c r="M182" s="124"/>
      <c r="N182" s="104" t="s">
        <v>101</v>
      </c>
      <c r="O182" s="118"/>
      <c r="P182" s="118" t="s">
        <v>344</v>
      </c>
      <c r="Q182" s="118" t="s">
        <v>345</v>
      </c>
      <c r="R182" s="124">
        <v>40843</v>
      </c>
      <c r="S182" s="127" t="s">
        <v>346</v>
      </c>
      <c r="T182" s="119" t="s">
        <v>423</v>
      </c>
      <c r="U182" s="119" t="s">
        <v>369</v>
      </c>
      <c r="V182" s="128"/>
      <c r="W182" s="128"/>
      <c r="X182" s="128"/>
      <c r="Y182" s="128"/>
      <c r="Z182" s="128"/>
      <c r="AA182" s="128"/>
      <c r="AB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row>
    <row r="183" spans="1:69" ht="20.25" customHeight="1">
      <c r="A183" s="118">
        <f t="shared" si="13"/>
        <v>13</v>
      </c>
      <c r="B183" s="118" t="s">
        <v>335</v>
      </c>
      <c r="C183" s="118">
        <v>13</v>
      </c>
      <c r="D183" s="131">
        <v>2010</v>
      </c>
      <c r="H183" s="122"/>
      <c r="I183" s="123">
        <f>AB143</f>
        <v>1.1275455395036005</v>
      </c>
      <c r="J183" s="19">
        <f t="shared" si="15"/>
        <v>0</v>
      </c>
      <c r="K183" s="124">
        <v>40292</v>
      </c>
      <c r="L183" s="125">
        <v>40261</v>
      </c>
      <c r="M183" s="124"/>
      <c r="N183" s="104" t="s">
        <v>204</v>
      </c>
      <c r="O183" s="118"/>
      <c r="P183" s="118" t="s">
        <v>364</v>
      </c>
      <c r="Q183" s="118" t="s">
        <v>344</v>
      </c>
      <c r="R183" s="134"/>
      <c r="S183" s="104" t="s">
        <v>355</v>
      </c>
      <c r="T183" s="119" t="s">
        <v>424</v>
      </c>
      <c r="U183" s="119" t="s">
        <v>351</v>
      </c>
      <c r="V183" s="128"/>
      <c r="W183" s="128"/>
      <c r="X183" s="128"/>
      <c r="Y183" s="128"/>
      <c r="Z183" s="128"/>
      <c r="AA183" s="128"/>
      <c r="AB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row>
    <row r="184" spans="1:32" s="142" customFormat="1" ht="20.25" customHeight="1">
      <c r="A184" s="118">
        <f t="shared" si="13"/>
        <v>14</v>
      </c>
      <c r="B184" s="136" t="s">
        <v>335</v>
      </c>
      <c r="C184" s="136">
        <v>14</v>
      </c>
      <c r="D184" s="137">
        <v>2010</v>
      </c>
      <c r="E184" s="18"/>
      <c r="F184" s="18"/>
      <c r="G184" s="138">
        <v>6800000</v>
      </c>
      <c r="H184" s="139">
        <f>G184</f>
        <v>6800000</v>
      </c>
      <c r="I184" s="123">
        <f>AB142</f>
        <v>1.1381444675749344</v>
      </c>
      <c r="J184" s="19">
        <f t="shared" si="15"/>
        <v>7739382.379509553</v>
      </c>
      <c r="K184" s="106">
        <v>40268</v>
      </c>
      <c r="L184" s="140">
        <v>40333</v>
      </c>
      <c r="M184" s="106"/>
      <c r="N184" s="104" t="s">
        <v>101</v>
      </c>
      <c r="O184" s="136"/>
      <c r="P184" s="136" t="s">
        <v>345</v>
      </c>
      <c r="Q184" s="136" t="s">
        <v>344</v>
      </c>
      <c r="R184" s="144">
        <v>40836</v>
      </c>
      <c r="S184" s="104" t="s">
        <v>346</v>
      </c>
      <c r="T184" s="104" t="s">
        <v>425</v>
      </c>
      <c r="U184" s="119" t="s">
        <v>351</v>
      </c>
      <c r="AC184"/>
      <c r="AD184"/>
      <c r="AE184"/>
      <c r="AF184"/>
    </row>
    <row r="185" spans="1:69" ht="20.25" customHeight="1">
      <c r="A185" s="118">
        <f t="shared" si="13"/>
        <v>15</v>
      </c>
      <c r="B185" s="118" t="s">
        <v>335</v>
      </c>
      <c r="C185" s="118">
        <v>15</v>
      </c>
      <c r="D185" s="131">
        <v>2010</v>
      </c>
      <c r="G185" s="103">
        <v>30000000</v>
      </c>
      <c r="H185" s="122">
        <v>30000000</v>
      </c>
      <c r="I185" s="123">
        <f>AB142</f>
        <v>1.1381444675749344</v>
      </c>
      <c r="J185" s="19">
        <f t="shared" si="15"/>
        <v>34144334.02724803</v>
      </c>
      <c r="K185" s="124">
        <v>40268</v>
      </c>
      <c r="L185" s="125"/>
      <c r="M185" s="124"/>
      <c r="N185" s="104" t="s">
        <v>101</v>
      </c>
      <c r="O185" s="118"/>
      <c r="P185" s="118" t="s">
        <v>344</v>
      </c>
      <c r="Q185" s="118" t="s">
        <v>345</v>
      </c>
      <c r="R185" s="124">
        <v>40841</v>
      </c>
      <c r="S185" s="127" t="s">
        <v>346</v>
      </c>
      <c r="T185" s="119" t="s">
        <v>426</v>
      </c>
      <c r="U185" s="119" t="s">
        <v>369</v>
      </c>
      <c r="V185" s="128"/>
      <c r="W185" s="128"/>
      <c r="X185" s="128"/>
      <c r="Y185" s="128"/>
      <c r="Z185" s="128"/>
      <c r="AA185" s="128"/>
      <c r="AB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row>
    <row r="186" spans="1:32" s="142" customFormat="1" ht="20.25" customHeight="1">
      <c r="A186" s="118">
        <f t="shared" si="13"/>
        <v>16</v>
      </c>
      <c r="B186" s="136" t="s">
        <v>335</v>
      </c>
      <c r="C186" s="136">
        <v>16</v>
      </c>
      <c r="D186" s="137">
        <v>2010</v>
      </c>
      <c r="E186" s="18"/>
      <c r="F186" s="18"/>
      <c r="G186" s="104" t="s">
        <v>427</v>
      </c>
      <c r="H186" s="163" t="s">
        <v>427</v>
      </c>
      <c r="I186" s="123">
        <f>AB143</f>
        <v>1.1275455395036005</v>
      </c>
      <c r="J186" s="6">
        <v>0</v>
      </c>
      <c r="K186" s="106">
        <v>40295</v>
      </c>
      <c r="L186" s="140">
        <v>40445</v>
      </c>
      <c r="M186" s="106" t="s">
        <v>428</v>
      </c>
      <c r="N186" s="104" t="s">
        <v>195</v>
      </c>
      <c r="O186" s="136"/>
      <c r="P186" s="136" t="s">
        <v>345</v>
      </c>
      <c r="Q186" s="136" t="s">
        <v>344</v>
      </c>
      <c r="R186" s="106">
        <v>40709</v>
      </c>
      <c r="S186" s="104" t="s">
        <v>429</v>
      </c>
      <c r="T186" s="104" t="s">
        <v>430</v>
      </c>
      <c r="U186" s="119" t="s">
        <v>393</v>
      </c>
      <c r="AC186"/>
      <c r="AD186"/>
      <c r="AE186"/>
      <c r="AF186"/>
    </row>
    <row r="187" spans="1:32" s="142" customFormat="1" ht="20.25" customHeight="1">
      <c r="A187" s="118">
        <f t="shared" si="13"/>
        <v>17</v>
      </c>
      <c r="B187" s="136" t="s">
        <v>335</v>
      </c>
      <c r="C187" s="136">
        <v>17</v>
      </c>
      <c r="D187" s="137">
        <v>2010</v>
      </c>
      <c r="E187" s="18"/>
      <c r="F187" s="18"/>
      <c r="G187" s="138">
        <v>100000000</v>
      </c>
      <c r="H187" s="139">
        <f>G187</f>
        <v>100000000</v>
      </c>
      <c r="I187" s="123">
        <f>AB143</f>
        <v>1.1275455395036005</v>
      </c>
      <c r="J187" s="19">
        <f t="shared" si="15"/>
        <v>112754553.95036004</v>
      </c>
      <c r="K187" s="106">
        <v>40295</v>
      </c>
      <c r="L187" s="140">
        <v>40430</v>
      </c>
      <c r="M187" s="106"/>
      <c r="N187" s="104" t="s">
        <v>101</v>
      </c>
      <c r="O187" s="136"/>
      <c r="P187" s="136" t="s">
        <v>345</v>
      </c>
      <c r="Q187" s="136" t="s">
        <v>344</v>
      </c>
      <c r="R187" s="106">
        <v>40805</v>
      </c>
      <c r="S187" s="104" t="s">
        <v>346</v>
      </c>
      <c r="T187" s="104" t="s">
        <v>431</v>
      </c>
      <c r="U187" s="119" t="s">
        <v>351</v>
      </c>
      <c r="AC187"/>
      <c r="AD187"/>
      <c r="AE187"/>
      <c r="AF187"/>
    </row>
    <row r="188" spans="1:69" ht="20.25" customHeight="1">
      <c r="A188" s="118">
        <f t="shared" si="13"/>
        <v>18</v>
      </c>
      <c r="B188" s="118" t="s">
        <v>335</v>
      </c>
      <c r="C188" s="118">
        <v>18</v>
      </c>
      <c r="D188" s="120">
        <v>2010</v>
      </c>
      <c r="G188" s="103">
        <v>3000000</v>
      </c>
      <c r="H188" s="122">
        <f>G188</f>
        <v>3000000</v>
      </c>
      <c r="I188" s="123">
        <f>AB143</f>
        <v>1.1275455395036005</v>
      </c>
      <c r="J188" s="19">
        <f t="shared" si="15"/>
        <v>3382636.6185108013</v>
      </c>
      <c r="K188" s="124">
        <v>40295</v>
      </c>
      <c r="L188" s="125"/>
      <c r="M188" s="124">
        <v>40430</v>
      </c>
      <c r="N188" s="104" t="s">
        <v>195</v>
      </c>
      <c r="O188" s="118">
        <f>M188-K188</f>
        <v>135</v>
      </c>
      <c r="P188" s="118"/>
      <c r="Q188" s="118"/>
      <c r="R188" s="124"/>
      <c r="S188" s="127"/>
      <c r="T188" s="118"/>
      <c r="U188" s="118"/>
      <c r="V188" s="128"/>
      <c r="W188" s="128"/>
      <c r="X188" s="128"/>
      <c r="Y188" s="128"/>
      <c r="Z188" s="128"/>
      <c r="AA188" s="128"/>
      <c r="AB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row>
    <row r="189" spans="1:69" ht="20.25" customHeight="1">
      <c r="A189" s="118">
        <f t="shared" si="13"/>
        <v>19</v>
      </c>
      <c r="B189" s="136" t="s">
        <v>335</v>
      </c>
      <c r="C189" s="136">
        <v>19</v>
      </c>
      <c r="D189" s="137">
        <v>2010</v>
      </c>
      <c r="G189" s="104" t="s">
        <v>427</v>
      </c>
      <c r="H189" s="163" t="s">
        <v>427</v>
      </c>
      <c r="I189" s="123">
        <f>AB143</f>
        <v>1.1275455395036005</v>
      </c>
      <c r="J189" s="19">
        <v>0</v>
      </c>
      <c r="K189" s="106">
        <v>40295</v>
      </c>
      <c r="L189" s="140">
        <v>40358</v>
      </c>
      <c r="M189" s="106"/>
      <c r="N189" s="104" t="s">
        <v>306</v>
      </c>
      <c r="O189" s="136"/>
      <c r="P189" s="136" t="s">
        <v>345</v>
      </c>
      <c r="Q189" s="136" t="s">
        <v>344</v>
      </c>
      <c r="R189" s="106">
        <v>40722</v>
      </c>
      <c r="S189" s="164" t="s">
        <v>355</v>
      </c>
      <c r="T189" s="104" t="s">
        <v>432</v>
      </c>
      <c r="U189" s="119" t="s">
        <v>351</v>
      </c>
      <c r="V189" s="142"/>
      <c r="W189" s="142"/>
      <c r="X189" s="142"/>
      <c r="Y189" s="128"/>
      <c r="Z189" s="128"/>
      <c r="AA189" s="128"/>
      <c r="AB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row>
    <row r="190" spans="1:32" s="142" customFormat="1" ht="20.25" customHeight="1">
      <c r="A190" s="118">
        <f t="shared" si="13"/>
        <v>20</v>
      </c>
      <c r="B190" s="118" t="s">
        <v>335</v>
      </c>
      <c r="C190" s="118">
        <v>20</v>
      </c>
      <c r="D190" s="131">
        <v>2010</v>
      </c>
      <c r="E190" s="129">
        <v>688750</v>
      </c>
      <c r="F190" s="118">
        <v>1.71</v>
      </c>
      <c r="G190" s="103">
        <v>1177762.5</v>
      </c>
      <c r="H190" s="122">
        <v>1177762.5</v>
      </c>
      <c r="I190" s="123">
        <f>AB144</f>
        <v>1.1189297801960905</v>
      </c>
      <c r="J190" s="19">
        <f t="shared" si="15"/>
        <v>1317833.535248198</v>
      </c>
      <c r="K190" s="124">
        <v>40319</v>
      </c>
      <c r="L190" s="125">
        <v>40396</v>
      </c>
      <c r="M190" s="124">
        <v>40632</v>
      </c>
      <c r="N190" s="104" t="s">
        <v>195</v>
      </c>
      <c r="O190" s="118"/>
      <c r="P190" s="118" t="s">
        <v>344</v>
      </c>
      <c r="Q190" s="118" t="s">
        <v>345</v>
      </c>
      <c r="R190" s="106"/>
      <c r="S190" s="104"/>
      <c r="T190" s="119"/>
      <c r="U190" s="119" t="s">
        <v>433</v>
      </c>
      <c r="V190" s="128"/>
      <c r="W190" s="128"/>
      <c r="X190" s="128"/>
      <c r="AC190"/>
      <c r="AD190"/>
      <c r="AE190"/>
      <c r="AF190"/>
    </row>
    <row r="191" spans="1:69" ht="20.25" customHeight="1">
      <c r="A191" s="118">
        <f t="shared" si="13"/>
        <v>21</v>
      </c>
      <c r="B191" s="136" t="s">
        <v>335</v>
      </c>
      <c r="C191" s="136">
        <v>21</v>
      </c>
      <c r="D191" s="137">
        <v>2010</v>
      </c>
      <c r="G191" s="138">
        <v>1000010</v>
      </c>
      <c r="H191" s="139">
        <f>G191</f>
        <v>1000010</v>
      </c>
      <c r="I191" s="123">
        <f>AB145</f>
        <v>1.106317757757653</v>
      </c>
      <c r="J191" s="19">
        <f t="shared" si="15"/>
        <v>1106328.8209352307</v>
      </c>
      <c r="K191" s="106">
        <v>40340</v>
      </c>
      <c r="L191" s="140">
        <v>40413</v>
      </c>
      <c r="M191" s="106"/>
      <c r="N191" s="104" t="s">
        <v>101</v>
      </c>
      <c r="O191" s="136"/>
      <c r="P191" s="136" t="s">
        <v>364</v>
      </c>
      <c r="Q191" s="136" t="s">
        <v>345</v>
      </c>
      <c r="R191" s="144">
        <v>40868</v>
      </c>
      <c r="S191" s="104" t="s">
        <v>355</v>
      </c>
      <c r="T191" s="104" t="s">
        <v>434</v>
      </c>
      <c r="U191" s="119" t="s">
        <v>351</v>
      </c>
      <c r="V191" s="142"/>
      <c r="W191" s="142"/>
      <c r="X191" s="142"/>
      <c r="Y191" s="128"/>
      <c r="Z191" s="128"/>
      <c r="AA191" s="128"/>
      <c r="AB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row>
    <row r="192" spans="1:69" ht="20.25" customHeight="1">
      <c r="A192" s="118">
        <f t="shared" si="13"/>
        <v>22</v>
      </c>
      <c r="B192" s="118" t="s">
        <v>335</v>
      </c>
      <c r="C192" s="118">
        <v>22</v>
      </c>
      <c r="D192" s="131">
        <v>2010</v>
      </c>
      <c r="H192" s="122"/>
      <c r="I192" s="123">
        <f>AB146</f>
        <v>1.0969933145836916</v>
      </c>
      <c r="J192" s="19">
        <f t="shared" si="15"/>
        <v>0</v>
      </c>
      <c r="K192" s="124">
        <v>40360</v>
      </c>
      <c r="L192" s="125"/>
      <c r="M192" s="124"/>
      <c r="N192" s="104" t="s">
        <v>307</v>
      </c>
      <c r="O192" s="118"/>
      <c r="P192" s="118" t="s">
        <v>344</v>
      </c>
      <c r="Q192" s="118" t="s">
        <v>345</v>
      </c>
      <c r="R192" s="124">
        <v>40772</v>
      </c>
      <c r="S192" s="104" t="s">
        <v>355</v>
      </c>
      <c r="T192" s="119" t="s">
        <v>435</v>
      </c>
      <c r="U192" s="119" t="s">
        <v>369</v>
      </c>
      <c r="V192" s="128"/>
      <c r="W192" s="128"/>
      <c r="X192" s="128"/>
      <c r="Y192" s="128"/>
      <c r="Z192" s="128"/>
      <c r="AA192" s="128"/>
      <c r="AB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row>
    <row r="193" spans="1:32" s="142" customFormat="1" ht="20.25" customHeight="1">
      <c r="A193" s="118">
        <f t="shared" si="13"/>
        <v>23</v>
      </c>
      <c r="B193" s="136" t="s">
        <v>335</v>
      </c>
      <c r="C193" s="136">
        <v>23</v>
      </c>
      <c r="D193" s="137">
        <v>2010</v>
      </c>
      <c r="E193" s="18"/>
      <c r="F193" s="18"/>
      <c r="G193" s="138">
        <v>1555495.32</v>
      </c>
      <c r="H193" s="139">
        <f>G193</f>
        <v>1555495.32</v>
      </c>
      <c r="I193" s="123">
        <f>AB146</f>
        <v>1.0969933145836916</v>
      </c>
      <c r="J193" s="19">
        <f t="shared" si="15"/>
        <v>1706367.9669062202</v>
      </c>
      <c r="K193" s="106">
        <v>40366</v>
      </c>
      <c r="L193" s="140">
        <v>40463</v>
      </c>
      <c r="M193" s="106" t="s">
        <v>436</v>
      </c>
      <c r="N193" s="104" t="s">
        <v>185</v>
      </c>
      <c r="O193" s="136"/>
      <c r="P193" s="136" t="s">
        <v>345</v>
      </c>
      <c r="Q193" s="136" t="s">
        <v>344</v>
      </c>
      <c r="R193" s="144">
        <v>40814</v>
      </c>
      <c r="S193" s="104" t="s">
        <v>346</v>
      </c>
      <c r="T193" s="104" t="s">
        <v>437</v>
      </c>
      <c r="U193" s="119" t="s">
        <v>353</v>
      </c>
      <c r="AC193"/>
      <c r="AD193"/>
      <c r="AE193"/>
      <c r="AF193"/>
    </row>
    <row r="194" spans="1:69" ht="20.25" customHeight="1">
      <c r="A194" s="118">
        <f t="shared" si="13"/>
        <v>24</v>
      </c>
      <c r="B194" s="118" t="s">
        <v>335</v>
      </c>
      <c r="C194" s="118">
        <v>24</v>
      </c>
      <c r="D194" s="131">
        <v>2010</v>
      </c>
      <c r="G194" s="103">
        <v>393489.58</v>
      </c>
      <c r="H194" s="122">
        <v>393489.58</v>
      </c>
      <c r="I194" s="123">
        <f>AB146</f>
        <v>1.0969933145836916</v>
      </c>
      <c r="J194" s="19">
        <f t="shared" si="15"/>
        <v>431655.4386183447</v>
      </c>
      <c r="K194" s="124">
        <v>40013</v>
      </c>
      <c r="L194" s="125"/>
      <c r="M194" s="124"/>
      <c r="N194" s="104" t="s">
        <v>101</v>
      </c>
      <c r="O194" s="118"/>
      <c r="P194" s="118" t="s">
        <v>344</v>
      </c>
      <c r="Q194" s="118" t="s">
        <v>345</v>
      </c>
      <c r="R194" s="124">
        <v>40866</v>
      </c>
      <c r="S194" s="104" t="s">
        <v>355</v>
      </c>
      <c r="T194" s="119" t="s">
        <v>438</v>
      </c>
      <c r="U194" s="119" t="s">
        <v>369</v>
      </c>
      <c r="V194" s="128"/>
      <c r="W194" s="128"/>
      <c r="X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row>
    <row r="195" spans="1:32" s="142" customFormat="1" ht="20.25" customHeight="1">
      <c r="A195" s="118">
        <f t="shared" si="13"/>
        <v>25</v>
      </c>
      <c r="B195" s="136" t="s">
        <v>335</v>
      </c>
      <c r="C195" s="136">
        <v>25</v>
      </c>
      <c r="D195" s="137">
        <v>2010</v>
      </c>
      <c r="E195" s="18"/>
      <c r="F195" s="18"/>
      <c r="G195" s="138">
        <v>30000000</v>
      </c>
      <c r="H195" s="139">
        <f>G195</f>
        <v>30000000</v>
      </c>
      <c r="I195" s="123">
        <f>AB146</f>
        <v>1.0969933145836916</v>
      </c>
      <c r="J195" s="19">
        <f t="shared" si="15"/>
        <v>32909799.43751075</v>
      </c>
      <c r="K195" s="106">
        <v>40375</v>
      </c>
      <c r="L195" s="140"/>
      <c r="M195" s="106" t="s">
        <v>439</v>
      </c>
      <c r="N195" s="104" t="s">
        <v>308</v>
      </c>
      <c r="O195" s="136"/>
      <c r="P195" s="136" t="s">
        <v>345</v>
      </c>
      <c r="Q195" s="136" t="s">
        <v>344</v>
      </c>
      <c r="R195" s="106">
        <v>40646</v>
      </c>
      <c r="S195" s="104" t="s">
        <v>346</v>
      </c>
      <c r="T195" s="104" t="s">
        <v>440</v>
      </c>
      <c r="U195" s="119" t="s">
        <v>351</v>
      </c>
      <c r="AC195"/>
      <c r="AD195"/>
      <c r="AE195"/>
      <c r="AF195"/>
    </row>
    <row r="196" spans="1:32" s="142" customFormat="1" ht="20.25" customHeight="1">
      <c r="A196" s="118">
        <f aca="true" t="shared" si="18" ref="A196:A259">A195+1</f>
        <v>26</v>
      </c>
      <c r="B196" s="136" t="s">
        <v>335</v>
      </c>
      <c r="C196" s="136">
        <v>26</v>
      </c>
      <c r="D196" s="137">
        <v>2010</v>
      </c>
      <c r="E196" s="18"/>
      <c r="F196" s="18"/>
      <c r="G196" s="104" t="s">
        <v>441</v>
      </c>
      <c r="H196" s="163" t="s">
        <v>441</v>
      </c>
      <c r="I196" s="123">
        <f>AB146</f>
        <v>1.0969933145836916</v>
      </c>
      <c r="J196" s="19">
        <v>0</v>
      </c>
      <c r="K196" s="106">
        <v>40380</v>
      </c>
      <c r="L196" s="140">
        <v>40438</v>
      </c>
      <c r="M196" s="106"/>
      <c r="N196" s="104" t="s">
        <v>204</v>
      </c>
      <c r="O196" s="136"/>
      <c r="P196" s="136" t="s">
        <v>345</v>
      </c>
      <c r="Q196" s="136" t="s">
        <v>344</v>
      </c>
      <c r="R196" s="106">
        <v>40843</v>
      </c>
      <c r="S196" s="104" t="s">
        <v>355</v>
      </c>
      <c r="T196" s="104" t="s">
        <v>442</v>
      </c>
      <c r="U196" s="119" t="s">
        <v>351</v>
      </c>
      <c r="AC196"/>
      <c r="AD196"/>
      <c r="AE196"/>
      <c r="AF196"/>
    </row>
    <row r="197" spans="1:69" ht="20.25" customHeight="1">
      <c r="A197" s="118">
        <f t="shared" si="18"/>
        <v>27</v>
      </c>
      <c r="B197" s="118" t="s">
        <v>335</v>
      </c>
      <c r="C197" s="118">
        <v>27</v>
      </c>
      <c r="D197" s="131">
        <v>2010</v>
      </c>
      <c r="G197" s="103">
        <v>5500000</v>
      </c>
      <c r="H197" s="122">
        <v>5500000</v>
      </c>
      <c r="I197" s="123">
        <f>AB147</f>
        <v>1.0953502891499667</v>
      </c>
      <c r="J197" s="19">
        <f aca="true" t="shared" si="19" ref="J197:J260">I197*G197</f>
        <v>6024426.590324816</v>
      </c>
      <c r="K197" s="124">
        <v>40396</v>
      </c>
      <c r="L197" s="125">
        <v>40427</v>
      </c>
      <c r="M197" s="124"/>
      <c r="N197" s="104" t="s">
        <v>101</v>
      </c>
      <c r="O197" s="118"/>
      <c r="P197" s="118" t="s">
        <v>364</v>
      </c>
      <c r="Q197" s="118" t="s">
        <v>344</v>
      </c>
      <c r="R197" s="124">
        <v>40854</v>
      </c>
      <c r="S197" s="104" t="s">
        <v>443</v>
      </c>
      <c r="T197" s="119" t="s">
        <v>444</v>
      </c>
      <c r="U197" s="119" t="s">
        <v>351</v>
      </c>
      <c r="V197" s="128"/>
      <c r="W197" s="128"/>
      <c r="X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row>
    <row r="198" spans="1:32" s="142" customFormat="1" ht="20.25" customHeight="1">
      <c r="A198" s="118">
        <f t="shared" si="18"/>
        <v>28</v>
      </c>
      <c r="B198" s="136" t="s">
        <v>335</v>
      </c>
      <c r="C198" s="136">
        <v>28</v>
      </c>
      <c r="D198" s="137">
        <v>2010</v>
      </c>
      <c r="E198" s="18"/>
      <c r="F198" s="18"/>
      <c r="G198" s="138">
        <v>540984</v>
      </c>
      <c r="H198" s="139">
        <f>G198</f>
        <v>540984</v>
      </c>
      <c r="I198" s="123">
        <f>AB147</f>
        <v>1.0953502891499667</v>
      </c>
      <c r="J198" s="19">
        <f t="shared" si="19"/>
        <v>592566.9808255056</v>
      </c>
      <c r="K198" s="106">
        <v>40406</v>
      </c>
      <c r="L198" s="140">
        <v>40602</v>
      </c>
      <c r="M198" s="106"/>
      <c r="N198" s="104" t="s">
        <v>101</v>
      </c>
      <c r="O198" s="136"/>
      <c r="P198" s="136" t="s">
        <v>345</v>
      </c>
      <c r="Q198" s="136" t="s">
        <v>344</v>
      </c>
      <c r="R198" s="106">
        <v>40868</v>
      </c>
      <c r="S198" s="104" t="s">
        <v>355</v>
      </c>
      <c r="T198" s="104" t="s">
        <v>445</v>
      </c>
      <c r="U198" s="119" t="s">
        <v>351</v>
      </c>
      <c r="AC198"/>
      <c r="AD198"/>
      <c r="AE198"/>
      <c r="AF198"/>
    </row>
    <row r="199" spans="1:69" ht="20.25" customHeight="1">
      <c r="A199" s="118">
        <f t="shared" si="18"/>
        <v>29</v>
      </c>
      <c r="B199" s="118" t="s">
        <v>335</v>
      </c>
      <c r="C199" s="118">
        <v>29</v>
      </c>
      <c r="D199" s="131">
        <v>2010</v>
      </c>
      <c r="G199" s="103">
        <v>803173.9</v>
      </c>
      <c r="H199" s="122">
        <v>803173.9</v>
      </c>
      <c r="I199" s="123">
        <f>AB147</f>
        <v>1.0953502891499667</v>
      </c>
      <c r="J199" s="19">
        <f t="shared" si="19"/>
        <v>879756.7636027065</v>
      </c>
      <c r="K199" s="124">
        <v>40415</v>
      </c>
      <c r="L199" s="125"/>
      <c r="M199" s="124"/>
      <c r="N199" s="104" t="s">
        <v>101</v>
      </c>
      <c r="O199" s="118"/>
      <c r="P199" s="118" t="s">
        <v>344</v>
      </c>
      <c r="Q199" s="118" t="s">
        <v>345</v>
      </c>
      <c r="R199" s="124">
        <v>40858</v>
      </c>
      <c r="S199" s="127" t="s">
        <v>446</v>
      </c>
      <c r="T199" s="119" t="s">
        <v>447</v>
      </c>
      <c r="U199" s="119" t="s">
        <v>353</v>
      </c>
      <c r="V199" s="142"/>
      <c r="W199" s="142"/>
      <c r="X199" s="142"/>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row>
    <row r="200" spans="1:32" s="142" customFormat="1" ht="20.25" customHeight="1">
      <c r="A200" s="118">
        <f t="shared" si="18"/>
        <v>30</v>
      </c>
      <c r="B200" s="118" t="s">
        <v>335</v>
      </c>
      <c r="C200" s="118">
        <v>30</v>
      </c>
      <c r="D200" s="131">
        <v>2010</v>
      </c>
      <c r="E200" s="18"/>
      <c r="F200" s="18"/>
      <c r="G200" s="103">
        <v>803173.9</v>
      </c>
      <c r="H200" s="122">
        <v>803173.9</v>
      </c>
      <c r="I200" s="123">
        <f>AB148</f>
        <v>1.0869805389996692</v>
      </c>
      <c r="J200" s="19">
        <f t="shared" si="19"/>
        <v>873034.3987324664</v>
      </c>
      <c r="K200" s="124">
        <v>40423</v>
      </c>
      <c r="L200" s="125"/>
      <c r="M200" s="124"/>
      <c r="N200" s="104" t="s">
        <v>298</v>
      </c>
      <c r="O200" s="118"/>
      <c r="P200" s="118" t="s">
        <v>344</v>
      </c>
      <c r="Q200" s="118" t="s">
        <v>345</v>
      </c>
      <c r="R200" s="124"/>
      <c r="S200" s="104"/>
      <c r="T200" s="119" t="s">
        <v>448</v>
      </c>
      <c r="U200" s="119"/>
      <c r="V200" s="128"/>
      <c r="W200" s="128"/>
      <c r="X200" s="128"/>
      <c r="AC200"/>
      <c r="AD200"/>
      <c r="AE200"/>
      <c r="AF200"/>
    </row>
    <row r="201" spans="1:69" ht="20.25" customHeight="1">
      <c r="A201" s="118">
        <f t="shared" si="18"/>
        <v>31</v>
      </c>
      <c r="B201" s="136" t="s">
        <v>335</v>
      </c>
      <c r="C201" s="136">
        <v>31</v>
      </c>
      <c r="D201" s="137">
        <v>2010</v>
      </c>
      <c r="G201" s="138">
        <v>1000000</v>
      </c>
      <c r="H201" s="139">
        <f>G201</f>
        <v>1000000</v>
      </c>
      <c r="I201" s="123">
        <f>AB149</f>
        <v>1.0746223816111409</v>
      </c>
      <c r="J201" s="19">
        <f t="shared" si="19"/>
        <v>1074622.381611141</v>
      </c>
      <c r="K201" s="106">
        <v>40471</v>
      </c>
      <c r="L201" s="140">
        <v>40511</v>
      </c>
      <c r="M201" s="106"/>
      <c r="N201" s="104" t="s">
        <v>101</v>
      </c>
      <c r="O201" s="136"/>
      <c r="P201" s="136" t="s">
        <v>364</v>
      </c>
      <c r="Q201" s="136" t="s">
        <v>345</v>
      </c>
      <c r="R201" s="144">
        <v>40868</v>
      </c>
      <c r="S201" s="104" t="s">
        <v>355</v>
      </c>
      <c r="T201" s="104" t="s">
        <v>434</v>
      </c>
      <c r="U201" s="119" t="s">
        <v>351</v>
      </c>
      <c r="V201" s="165"/>
      <c r="W201" s="165"/>
      <c r="X201" s="165"/>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row>
    <row r="202" spans="1:32" s="142" customFormat="1" ht="20.25" customHeight="1">
      <c r="A202" s="118">
        <f t="shared" si="18"/>
        <v>32</v>
      </c>
      <c r="B202" s="136" t="s">
        <v>335</v>
      </c>
      <c r="C202" s="136">
        <v>32</v>
      </c>
      <c r="D202" s="137">
        <v>2010</v>
      </c>
      <c r="E202" s="18"/>
      <c r="F202" s="18"/>
      <c r="G202" s="138">
        <v>1500000</v>
      </c>
      <c r="H202" s="139">
        <f>G202</f>
        <v>1500000</v>
      </c>
      <c r="I202" s="123">
        <f>AB148</f>
        <v>1.0869805389996692</v>
      </c>
      <c r="J202" s="19">
        <f t="shared" si="19"/>
        <v>1630470.8084995039</v>
      </c>
      <c r="K202" s="106">
        <v>40450</v>
      </c>
      <c r="L202" s="140">
        <v>40603</v>
      </c>
      <c r="M202" s="106"/>
      <c r="N202" s="104" t="s">
        <v>101</v>
      </c>
      <c r="O202" s="136"/>
      <c r="P202" s="136" t="s">
        <v>345</v>
      </c>
      <c r="Q202" s="136" t="s">
        <v>344</v>
      </c>
      <c r="R202" s="106">
        <v>40856</v>
      </c>
      <c r="S202" s="104" t="s">
        <v>355</v>
      </c>
      <c r="T202" s="104" t="s">
        <v>449</v>
      </c>
      <c r="U202" s="119" t="s">
        <v>351</v>
      </c>
      <c r="V202" s="165"/>
      <c r="W202" s="165"/>
      <c r="X202" s="165"/>
      <c r="AC202"/>
      <c r="AD202"/>
      <c r="AE202"/>
      <c r="AF202"/>
    </row>
    <row r="203" spans="1:69" ht="20.25" customHeight="1">
      <c r="A203" s="118">
        <f t="shared" si="18"/>
        <v>33</v>
      </c>
      <c r="B203" s="136" t="s">
        <v>335</v>
      </c>
      <c r="C203" s="136">
        <v>33</v>
      </c>
      <c r="D203" s="137">
        <v>2010</v>
      </c>
      <c r="G203" s="138">
        <v>13640575</v>
      </c>
      <c r="H203" s="139">
        <v>13640575</v>
      </c>
      <c r="I203" s="123">
        <f>AB149</f>
        <v>1.0746223816111409</v>
      </c>
      <c r="J203" s="19">
        <f t="shared" si="19"/>
        <v>14658467.193045387</v>
      </c>
      <c r="K203" s="106">
        <v>40458</v>
      </c>
      <c r="L203" s="140">
        <v>40528</v>
      </c>
      <c r="M203" s="106"/>
      <c r="N203" s="104" t="s">
        <v>101</v>
      </c>
      <c r="O203" s="136"/>
      <c r="P203" s="136" t="s">
        <v>345</v>
      </c>
      <c r="Q203" s="136" t="s">
        <v>344</v>
      </c>
      <c r="R203" s="106">
        <v>40894</v>
      </c>
      <c r="S203" s="104" t="s">
        <v>346</v>
      </c>
      <c r="T203" s="104" t="s">
        <v>413</v>
      </c>
      <c r="U203" s="119" t="s">
        <v>351</v>
      </c>
      <c r="V203" s="165"/>
      <c r="W203" s="165"/>
      <c r="X203" s="165"/>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row>
    <row r="204" spans="1:32" s="142" customFormat="1" ht="20.25" customHeight="1">
      <c r="A204" s="118">
        <f t="shared" si="18"/>
        <v>34</v>
      </c>
      <c r="B204" s="136" t="s">
        <v>338</v>
      </c>
      <c r="C204" s="136">
        <v>34</v>
      </c>
      <c r="D204" s="137">
        <v>2010</v>
      </c>
      <c r="E204" s="18"/>
      <c r="F204" s="18"/>
      <c r="G204" s="138">
        <v>2872378.48</v>
      </c>
      <c r="H204" s="139">
        <v>2872378.48</v>
      </c>
      <c r="I204" s="123">
        <f>AB149</f>
        <v>1.0746223816111409</v>
      </c>
      <c r="J204" s="19">
        <f t="shared" si="19"/>
        <v>3086722.203066189</v>
      </c>
      <c r="K204" s="106">
        <v>40478</v>
      </c>
      <c r="L204" s="140">
        <v>40478</v>
      </c>
      <c r="M204" s="106"/>
      <c r="N204" s="104" t="s">
        <v>101</v>
      </c>
      <c r="O204" s="136"/>
      <c r="P204" s="136" t="s">
        <v>364</v>
      </c>
      <c r="Q204" s="136" t="s">
        <v>344</v>
      </c>
      <c r="R204" s="106">
        <v>40833</v>
      </c>
      <c r="S204" s="104" t="s">
        <v>450</v>
      </c>
      <c r="T204" s="104" t="s">
        <v>451</v>
      </c>
      <c r="U204" s="119" t="s">
        <v>351</v>
      </c>
      <c r="V204" s="166"/>
      <c r="W204" s="166"/>
      <c r="X204" s="166"/>
      <c r="AC204"/>
      <c r="AD204"/>
      <c r="AE204"/>
      <c r="AF204"/>
    </row>
    <row r="205" spans="1:32" s="142" customFormat="1" ht="20.25" customHeight="1">
      <c r="A205" s="118">
        <f t="shared" si="18"/>
        <v>35</v>
      </c>
      <c r="B205" s="136" t="s">
        <v>338</v>
      </c>
      <c r="C205" s="136">
        <v>35</v>
      </c>
      <c r="D205" s="137">
        <v>2010</v>
      </c>
      <c r="E205" s="18"/>
      <c r="F205" s="18"/>
      <c r="G205" s="136" t="s">
        <v>452</v>
      </c>
      <c r="H205" s="139">
        <v>20000000</v>
      </c>
      <c r="I205" s="123">
        <f>AB149</f>
        <v>1.0746223816111409</v>
      </c>
      <c r="J205" s="19">
        <v>0</v>
      </c>
      <c r="K205" s="106">
        <v>40480</v>
      </c>
      <c r="L205" s="140">
        <v>40268</v>
      </c>
      <c r="M205" s="106"/>
      <c r="N205" s="104" t="s">
        <v>101</v>
      </c>
      <c r="O205" s="136"/>
      <c r="P205" s="136" t="s">
        <v>345</v>
      </c>
      <c r="Q205" s="136" t="s">
        <v>344</v>
      </c>
      <c r="R205" s="106">
        <v>40844</v>
      </c>
      <c r="S205" s="104" t="s">
        <v>355</v>
      </c>
      <c r="T205" s="144" t="s">
        <v>453</v>
      </c>
      <c r="U205" s="119" t="s">
        <v>351</v>
      </c>
      <c r="V205" s="165"/>
      <c r="W205" s="165"/>
      <c r="X205" s="165"/>
      <c r="AC205"/>
      <c r="AD205"/>
      <c r="AE205"/>
      <c r="AF205"/>
    </row>
    <row r="206" spans="1:69" ht="20.25" customHeight="1">
      <c r="A206" s="118">
        <f t="shared" si="18"/>
        <v>36</v>
      </c>
      <c r="B206" s="136" t="s">
        <v>338</v>
      </c>
      <c r="C206" s="136">
        <v>36</v>
      </c>
      <c r="D206" s="137">
        <v>2010</v>
      </c>
      <c r="G206" s="167">
        <v>90000000</v>
      </c>
      <c r="H206" s="168">
        <v>90000000</v>
      </c>
      <c r="I206" s="123">
        <f>AB150</f>
        <v>1.0638772216722512</v>
      </c>
      <c r="J206" s="19">
        <f t="shared" si="19"/>
        <v>95748949.9505026</v>
      </c>
      <c r="K206" s="106">
        <v>40500</v>
      </c>
      <c r="L206" s="140">
        <v>40268</v>
      </c>
      <c r="M206" s="106"/>
      <c r="N206" s="104" t="s">
        <v>101</v>
      </c>
      <c r="O206" s="136"/>
      <c r="P206" s="136" t="s">
        <v>345</v>
      </c>
      <c r="Q206" s="136" t="s">
        <v>344</v>
      </c>
      <c r="R206" s="106">
        <v>40892</v>
      </c>
      <c r="S206" s="104" t="s">
        <v>355</v>
      </c>
      <c r="T206" s="149" t="s">
        <v>454</v>
      </c>
      <c r="U206" s="119" t="s">
        <v>351</v>
      </c>
      <c r="V206" s="165"/>
      <c r="W206" s="165"/>
      <c r="X206" s="165"/>
      <c r="Y206" s="128"/>
      <c r="Z206" s="128"/>
      <c r="AA206" s="128"/>
      <c r="AB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row>
    <row r="207" spans="1:32" s="142" customFormat="1" ht="20.25" customHeight="1">
      <c r="A207" s="118">
        <f t="shared" si="18"/>
        <v>37</v>
      </c>
      <c r="B207" s="136" t="s">
        <v>338</v>
      </c>
      <c r="C207" s="136">
        <v>37</v>
      </c>
      <c r="D207" s="137">
        <v>2010</v>
      </c>
      <c r="E207" s="18"/>
      <c r="F207" s="18"/>
      <c r="G207" s="18"/>
      <c r="H207" s="139" t="s">
        <v>455</v>
      </c>
      <c r="I207" s="123">
        <f>AB150</f>
        <v>1.0638772216722512</v>
      </c>
      <c r="J207" s="19">
        <f t="shared" si="19"/>
        <v>0</v>
      </c>
      <c r="K207" s="106">
        <v>40507</v>
      </c>
      <c r="L207" s="140">
        <v>40507</v>
      </c>
      <c r="M207" s="106"/>
      <c r="N207" s="104" t="s">
        <v>101</v>
      </c>
      <c r="O207" s="136"/>
      <c r="P207" s="136" t="s">
        <v>364</v>
      </c>
      <c r="Q207" s="136" t="s">
        <v>344</v>
      </c>
      <c r="R207" s="106">
        <v>40841</v>
      </c>
      <c r="S207" s="127" t="s">
        <v>355</v>
      </c>
      <c r="T207" s="149" t="s">
        <v>456</v>
      </c>
      <c r="U207" s="119" t="s">
        <v>351</v>
      </c>
      <c r="V207" s="166"/>
      <c r="W207" s="166"/>
      <c r="X207" s="166"/>
      <c r="AC207"/>
      <c r="AD207"/>
      <c r="AE207"/>
      <c r="AF207"/>
    </row>
    <row r="208" spans="1:32" s="142" customFormat="1" ht="20.25" customHeight="1">
      <c r="A208" s="118">
        <f t="shared" si="18"/>
        <v>38</v>
      </c>
      <c r="B208" s="136" t="s">
        <v>335</v>
      </c>
      <c r="C208" s="136">
        <v>38</v>
      </c>
      <c r="D208" s="137">
        <v>2010</v>
      </c>
      <c r="E208" s="18"/>
      <c r="F208" s="18"/>
      <c r="G208" s="136" t="s">
        <v>452</v>
      </c>
      <c r="H208" s="169" t="s">
        <v>452</v>
      </c>
      <c r="I208" s="123">
        <f>AB150</f>
        <v>1.0638772216722512</v>
      </c>
      <c r="J208" s="19">
        <v>0</v>
      </c>
      <c r="K208" s="106">
        <v>40508</v>
      </c>
      <c r="L208" s="140">
        <v>40660</v>
      </c>
      <c r="M208" s="106"/>
      <c r="N208" s="104" t="s">
        <v>101</v>
      </c>
      <c r="O208" s="136"/>
      <c r="P208" s="136" t="s">
        <v>364</v>
      </c>
      <c r="Q208" s="136" t="s">
        <v>345</v>
      </c>
      <c r="R208" s="106">
        <v>40842</v>
      </c>
      <c r="S208" s="104" t="s">
        <v>346</v>
      </c>
      <c r="T208" s="149" t="s">
        <v>457</v>
      </c>
      <c r="U208" s="119" t="s">
        <v>351</v>
      </c>
      <c r="V208" s="165"/>
      <c r="W208" s="165"/>
      <c r="X208" s="165"/>
      <c r="AC208"/>
      <c r="AD208"/>
      <c r="AE208"/>
      <c r="AF208"/>
    </row>
    <row r="209" spans="1:69" ht="20.25" customHeight="1">
      <c r="A209" s="118">
        <f t="shared" si="18"/>
        <v>39</v>
      </c>
      <c r="B209" s="136" t="s">
        <v>335</v>
      </c>
      <c r="C209" s="136">
        <v>39</v>
      </c>
      <c r="D209" s="137">
        <v>2010</v>
      </c>
      <c r="H209" s="170"/>
      <c r="I209" s="123">
        <f>AB150</f>
        <v>1.0638772216722512</v>
      </c>
      <c r="J209" s="19">
        <f t="shared" si="19"/>
        <v>0</v>
      </c>
      <c r="K209" s="106">
        <v>40508</v>
      </c>
      <c r="L209" s="140">
        <v>40508</v>
      </c>
      <c r="M209" s="171"/>
      <c r="N209" s="104" t="s">
        <v>101</v>
      </c>
      <c r="O209" s="172"/>
      <c r="P209" s="136" t="s">
        <v>364</v>
      </c>
      <c r="Q209" s="136" t="s">
        <v>344</v>
      </c>
      <c r="R209" s="106" t="s">
        <v>458</v>
      </c>
      <c r="S209" s="104" t="s">
        <v>459</v>
      </c>
      <c r="T209" s="149" t="s">
        <v>460</v>
      </c>
      <c r="U209" s="119" t="s">
        <v>351</v>
      </c>
      <c r="V209" s="166"/>
      <c r="W209" s="166"/>
      <c r="X209" s="166"/>
      <c r="Y209" s="128"/>
      <c r="Z209" s="128"/>
      <c r="AA209" s="128"/>
      <c r="AB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row>
    <row r="210" spans="1:32" s="165" customFormat="1" ht="20.25" customHeight="1">
      <c r="A210" s="118">
        <f t="shared" si="18"/>
        <v>40</v>
      </c>
      <c r="B210" s="136" t="s">
        <v>338</v>
      </c>
      <c r="C210" s="136">
        <v>40</v>
      </c>
      <c r="D210" s="137">
        <v>2010</v>
      </c>
      <c r="E210" s="18"/>
      <c r="F210" s="18"/>
      <c r="G210" s="18"/>
      <c r="H210" s="139" t="s">
        <v>455</v>
      </c>
      <c r="I210" s="123">
        <f>AB150</f>
        <v>1.0638772216722512</v>
      </c>
      <c r="J210" s="19">
        <f t="shared" si="19"/>
        <v>0</v>
      </c>
      <c r="K210" s="106">
        <v>40507</v>
      </c>
      <c r="L210" s="140"/>
      <c r="M210" s="106"/>
      <c r="N210" s="104" t="s">
        <v>298</v>
      </c>
      <c r="O210" s="136"/>
      <c r="P210" s="136" t="s">
        <v>344</v>
      </c>
      <c r="Q210" s="136" t="s">
        <v>345</v>
      </c>
      <c r="R210" s="106"/>
      <c r="S210" s="104"/>
      <c r="T210" s="127" t="s">
        <v>461</v>
      </c>
      <c r="U210" s="119" t="s">
        <v>348</v>
      </c>
      <c r="V210" s="166"/>
      <c r="W210" s="166"/>
      <c r="X210" s="166"/>
      <c r="AC210"/>
      <c r="AD210"/>
      <c r="AE210"/>
      <c r="AF210"/>
    </row>
    <row r="211" spans="1:32" s="165" customFormat="1" ht="20.25" customHeight="1">
      <c r="A211" s="118">
        <f t="shared" si="18"/>
        <v>41</v>
      </c>
      <c r="B211" s="136" t="s">
        <v>338</v>
      </c>
      <c r="C211" s="126">
        <v>41</v>
      </c>
      <c r="D211" s="173">
        <v>2010</v>
      </c>
      <c r="E211" s="18"/>
      <c r="F211" s="18"/>
      <c r="G211" s="18"/>
      <c r="H211" s="122"/>
      <c r="I211" s="123">
        <f>AB151</f>
        <v>1.0486714851377539</v>
      </c>
      <c r="J211" s="19">
        <f t="shared" si="19"/>
        <v>0</v>
      </c>
      <c r="K211" s="174">
        <v>40513</v>
      </c>
      <c r="L211" s="175"/>
      <c r="M211" s="174"/>
      <c r="N211" s="104" t="s">
        <v>195</v>
      </c>
      <c r="O211" s="126"/>
      <c r="P211" s="136" t="s">
        <v>345</v>
      </c>
      <c r="Q211" s="136" t="s">
        <v>344</v>
      </c>
      <c r="R211" s="174">
        <v>40627</v>
      </c>
      <c r="S211" s="104" t="s">
        <v>355</v>
      </c>
      <c r="T211" s="149" t="s">
        <v>462</v>
      </c>
      <c r="U211" s="119" t="s">
        <v>386</v>
      </c>
      <c r="V211" s="128"/>
      <c r="W211" s="128"/>
      <c r="X211" s="128"/>
      <c r="AC211"/>
      <c r="AD211"/>
      <c r="AE211"/>
      <c r="AF211"/>
    </row>
    <row r="212" spans="1:32" s="165" customFormat="1" ht="20.25" customHeight="1">
      <c r="A212" s="118">
        <f t="shared" si="18"/>
        <v>42</v>
      </c>
      <c r="B212" s="126" t="s">
        <v>335</v>
      </c>
      <c r="C212" s="126">
        <v>42</v>
      </c>
      <c r="D212" s="173">
        <v>2010</v>
      </c>
      <c r="E212" s="18"/>
      <c r="F212" s="18"/>
      <c r="G212" s="176">
        <v>3000000</v>
      </c>
      <c r="H212" s="122"/>
      <c r="I212" s="123">
        <f>AB151</f>
        <v>1.0486714851377539</v>
      </c>
      <c r="J212" s="19">
        <f t="shared" si="19"/>
        <v>3146014.4554132614</v>
      </c>
      <c r="K212" s="174">
        <v>40519</v>
      </c>
      <c r="L212" s="175">
        <v>40513</v>
      </c>
      <c r="M212" s="174"/>
      <c r="N212" s="104" t="s">
        <v>101</v>
      </c>
      <c r="O212" s="126"/>
      <c r="P212" s="136" t="s">
        <v>364</v>
      </c>
      <c r="Q212" s="136" t="s">
        <v>344</v>
      </c>
      <c r="R212" s="174"/>
      <c r="S212" s="127"/>
      <c r="T212" s="127" t="s">
        <v>463</v>
      </c>
      <c r="U212" s="119" t="s">
        <v>351</v>
      </c>
      <c r="V212" s="117"/>
      <c r="W212" s="128"/>
      <c r="X212" s="128"/>
      <c r="AC212"/>
      <c r="AD212"/>
      <c r="AE212"/>
      <c r="AF212"/>
    </row>
    <row r="213" spans="1:32" s="166" customFormat="1" ht="20.25" customHeight="1">
      <c r="A213" s="118">
        <f t="shared" si="18"/>
        <v>43</v>
      </c>
      <c r="B213" s="136" t="s">
        <v>335</v>
      </c>
      <c r="C213" s="126">
        <v>43</v>
      </c>
      <c r="D213" s="173">
        <v>2010</v>
      </c>
      <c r="E213" s="18"/>
      <c r="F213" s="18"/>
      <c r="G213" s="138">
        <v>14000000</v>
      </c>
      <c r="H213" s="139">
        <v>14000000</v>
      </c>
      <c r="I213" s="123">
        <f>AB151</f>
        <v>1.0486714851377539</v>
      </c>
      <c r="J213" s="19">
        <f t="shared" si="19"/>
        <v>14681400.791928554</v>
      </c>
      <c r="K213" s="174">
        <v>40519</v>
      </c>
      <c r="L213" s="175">
        <v>40623</v>
      </c>
      <c r="M213" s="174"/>
      <c r="N213" s="104" t="s">
        <v>309</v>
      </c>
      <c r="O213" s="126"/>
      <c r="P213" s="136" t="s">
        <v>345</v>
      </c>
      <c r="Q213" s="136" t="s">
        <v>344</v>
      </c>
      <c r="R213" s="106">
        <v>40930</v>
      </c>
      <c r="S213" s="104" t="s">
        <v>464</v>
      </c>
      <c r="T213" s="149" t="s">
        <v>465</v>
      </c>
      <c r="U213" s="119" t="s">
        <v>351</v>
      </c>
      <c r="V213" s="128"/>
      <c r="W213" s="128"/>
      <c r="X213" s="128"/>
      <c r="AC213"/>
      <c r="AD213"/>
      <c r="AE213"/>
      <c r="AF213"/>
    </row>
    <row r="214" spans="1:32" s="165" customFormat="1" ht="20.25" customHeight="1">
      <c r="A214" s="118">
        <f t="shared" si="18"/>
        <v>44</v>
      </c>
      <c r="B214" s="126" t="s">
        <v>335</v>
      </c>
      <c r="C214" s="126">
        <v>44</v>
      </c>
      <c r="D214" s="173">
        <v>2010</v>
      </c>
      <c r="E214" s="18"/>
      <c r="F214" s="18"/>
      <c r="G214" s="176">
        <v>3400000</v>
      </c>
      <c r="H214" s="177">
        <v>3400000</v>
      </c>
      <c r="I214" s="123">
        <f>AB151</f>
        <v>1.0486714851377539</v>
      </c>
      <c r="J214" s="19">
        <f t="shared" si="19"/>
        <v>3565483.049468363</v>
      </c>
      <c r="K214" s="174">
        <v>40522</v>
      </c>
      <c r="L214" s="175">
        <v>40681</v>
      </c>
      <c r="M214" s="174"/>
      <c r="N214" s="104" t="s">
        <v>309</v>
      </c>
      <c r="O214" s="126"/>
      <c r="P214" s="126" t="s">
        <v>364</v>
      </c>
      <c r="Q214" s="126" t="s">
        <v>345</v>
      </c>
      <c r="R214" s="174">
        <v>40841</v>
      </c>
      <c r="S214" s="104" t="s">
        <v>346</v>
      </c>
      <c r="T214" s="127" t="s">
        <v>466</v>
      </c>
      <c r="U214" s="119" t="s">
        <v>351</v>
      </c>
      <c r="V214" s="128"/>
      <c r="W214" s="128"/>
      <c r="X214" s="128"/>
      <c r="AC214"/>
      <c r="AD214"/>
      <c r="AE214"/>
      <c r="AF214"/>
    </row>
    <row r="215" spans="1:32" s="165" customFormat="1" ht="20.25" customHeight="1">
      <c r="A215" s="118">
        <f t="shared" si="18"/>
        <v>45</v>
      </c>
      <c r="B215" s="126" t="s">
        <v>335</v>
      </c>
      <c r="C215" s="126">
        <v>45</v>
      </c>
      <c r="D215" s="173">
        <v>2010</v>
      </c>
      <c r="E215" s="18"/>
      <c r="F215" s="18"/>
      <c r="G215" s="176">
        <v>7000000</v>
      </c>
      <c r="H215" s="122"/>
      <c r="I215" s="123">
        <f>AB151</f>
        <v>1.0486714851377539</v>
      </c>
      <c r="J215" s="19">
        <f t="shared" si="19"/>
        <v>7340700.395964277</v>
      </c>
      <c r="K215" s="174">
        <v>40529</v>
      </c>
      <c r="L215" s="175">
        <v>40529</v>
      </c>
      <c r="M215" s="174"/>
      <c r="N215" s="104" t="s">
        <v>101</v>
      </c>
      <c r="O215" s="126"/>
      <c r="P215" s="136" t="s">
        <v>364</v>
      </c>
      <c r="Q215" s="136" t="s">
        <v>344</v>
      </c>
      <c r="R215" s="174">
        <v>40826</v>
      </c>
      <c r="S215" s="127" t="s">
        <v>467</v>
      </c>
      <c r="T215" s="127" t="s">
        <v>468</v>
      </c>
      <c r="U215" s="119" t="s">
        <v>351</v>
      </c>
      <c r="V215" s="128"/>
      <c r="W215" s="128"/>
      <c r="X215" s="128"/>
      <c r="AC215"/>
      <c r="AD215"/>
      <c r="AE215"/>
      <c r="AF215"/>
    </row>
    <row r="216" spans="1:32" s="166" customFormat="1" ht="20.25" customHeight="1">
      <c r="A216" s="118">
        <f t="shared" si="18"/>
        <v>46</v>
      </c>
      <c r="B216" s="126" t="s">
        <v>335</v>
      </c>
      <c r="C216" s="126">
        <v>46</v>
      </c>
      <c r="D216" s="173">
        <v>2010</v>
      </c>
      <c r="E216" s="18"/>
      <c r="F216" s="18"/>
      <c r="G216" s="176">
        <v>1000000</v>
      </c>
      <c r="H216" s="177">
        <v>1000000</v>
      </c>
      <c r="I216" s="123">
        <f>AB151</f>
        <v>1.0486714851377539</v>
      </c>
      <c r="J216" s="19">
        <f t="shared" si="19"/>
        <v>1048671.485137754</v>
      </c>
      <c r="K216" s="174">
        <v>40534</v>
      </c>
      <c r="L216" s="175">
        <v>40316</v>
      </c>
      <c r="M216" s="174"/>
      <c r="N216" s="104" t="s">
        <v>101</v>
      </c>
      <c r="O216" s="126"/>
      <c r="P216" s="126" t="s">
        <v>345</v>
      </c>
      <c r="Q216" s="126" t="s">
        <v>344</v>
      </c>
      <c r="R216" s="174" t="s">
        <v>469</v>
      </c>
      <c r="S216" s="104" t="s">
        <v>355</v>
      </c>
      <c r="T216" s="149" t="s">
        <v>470</v>
      </c>
      <c r="U216" s="119" t="s">
        <v>351</v>
      </c>
      <c r="V216" s="128"/>
      <c r="W216" s="128"/>
      <c r="X216" s="128"/>
      <c r="Y216"/>
      <c r="Z216"/>
      <c r="AA216"/>
      <c r="AB216"/>
      <c r="AC216"/>
      <c r="AD216"/>
      <c r="AE216"/>
      <c r="AF216"/>
    </row>
    <row r="217" spans="1:32" s="165" customFormat="1" ht="20.25" customHeight="1">
      <c r="A217" s="118">
        <f t="shared" si="18"/>
        <v>47</v>
      </c>
      <c r="B217" s="126" t="s">
        <v>335</v>
      </c>
      <c r="C217" s="126">
        <v>47</v>
      </c>
      <c r="D217" s="173">
        <v>2010</v>
      </c>
      <c r="E217" s="18"/>
      <c r="F217" s="18"/>
      <c r="G217" s="176">
        <v>23759471.68</v>
      </c>
      <c r="H217" s="122"/>
      <c r="I217" s="123">
        <f>AB151</f>
        <v>1.0486714851377539</v>
      </c>
      <c r="J217" s="19">
        <f t="shared" si="19"/>
        <v>24915880.452754002</v>
      </c>
      <c r="K217" s="174">
        <v>40535</v>
      </c>
      <c r="L217" s="175"/>
      <c r="M217" s="174"/>
      <c r="N217" s="104" t="s">
        <v>101</v>
      </c>
      <c r="O217" s="126"/>
      <c r="P217" s="126" t="s">
        <v>344</v>
      </c>
      <c r="Q217" s="126" t="s">
        <v>345</v>
      </c>
      <c r="R217" s="174">
        <v>40844</v>
      </c>
      <c r="S217" s="127" t="s">
        <v>355</v>
      </c>
      <c r="T217" s="127" t="s">
        <v>471</v>
      </c>
      <c r="U217" s="119" t="s">
        <v>353</v>
      </c>
      <c r="V217" s="128"/>
      <c r="W217" s="128"/>
      <c r="X217" s="128"/>
      <c r="Y217"/>
      <c r="Z217"/>
      <c r="AA217"/>
      <c r="AB217"/>
      <c r="AC217"/>
      <c r="AD217"/>
      <c r="AE217"/>
      <c r="AF217"/>
    </row>
    <row r="218" spans="1:32" s="166" customFormat="1" ht="20.25" customHeight="1">
      <c r="A218" s="118">
        <f t="shared" si="18"/>
        <v>48</v>
      </c>
      <c r="B218" s="126" t="s">
        <v>335</v>
      </c>
      <c r="C218" s="126">
        <v>48</v>
      </c>
      <c r="D218" s="173">
        <v>2010</v>
      </c>
      <c r="E218" s="18"/>
      <c r="F218" s="18"/>
      <c r="G218" s="176">
        <v>34732566</v>
      </c>
      <c r="H218" s="177">
        <v>34732566</v>
      </c>
      <c r="I218" s="123">
        <f>AB151</f>
        <v>1.0486714851377539</v>
      </c>
      <c r="J218" s="19">
        <f t="shared" si="19"/>
        <v>36423051.569865055</v>
      </c>
      <c r="K218" s="174">
        <v>40535</v>
      </c>
      <c r="L218" s="175">
        <v>40662</v>
      </c>
      <c r="M218" s="174"/>
      <c r="N218" s="104" t="s">
        <v>309</v>
      </c>
      <c r="O218" s="126"/>
      <c r="P218" s="126" t="s">
        <v>345</v>
      </c>
      <c r="Q218" s="126" t="s">
        <v>344</v>
      </c>
      <c r="R218" s="174" t="s">
        <v>472</v>
      </c>
      <c r="S218" s="104" t="s">
        <v>355</v>
      </c>
      <c r="T218" s="127" t="s">
        <v>473</v>
      </c>
      <c r="U218" s="119" t="s">
        <v>351</v>
      </c>
      <c r="V218" s="128"/>
      <c r="W218" s="128"/>
      <c r="X218" s="128"/>
      <c r="Y218"/>
      <c r="Z218"/>
      <c r="AA218"/>
      <c r="AB218"/>
      <c r="AC218"/>
      <c r="AD218"/>
      <c r="AE218"/>
      <c r="AF218"/>
    </row>
    <row r="219" spans="1:32" s="166" customFormat="1" ht="20.25" customHeight="1">
      <c r="A219" s="188">
        <v>1</v>
      </c>
      <c r="B219" s="126" t="s">
        <v>335</v>
      </c>
      <c r="C219" s="126">
        <v>1</v>
      </c>
      <c r="D219" s="173">
        <v>2011</v>
      </c>
      <c r="E219" s="18"/>
      <c r="F219" s="18"/>
      <c r="G219" s="126" t="s">
        <v>100</v>
      </c>
      <c r="H219" s="122"/>
      <c r="I219" s="123">
        <f>AB152</f>
        <v>1.0414852370024372</v>
      </c>
      <c r="J219" s="19">
        <v>0</v>
      </c>
      <c r="K219" s="174">
        <v>40549</v>
      </c>
      <c r="L219" s="175"/>
      <c r="M219" s="174"/>
      <c r="N219" s="104" t="s">
        <v>195</v>
      </c>
      <c r="O219" s="126"/>
      <c r="P219" s="126" t="s">
        <v>344</v>
      </c>
      <c r="Q219" s="126" t="s">
        <v>345</v>
      </c>
      <c r="R219" s="174"/>
      <c r="S219" s="127"/>
      <c r="T219" s="127" t="s">
        <v>474</v>
      </c>
      <c r="U219" s="119" t="s">
        <v>475</v>
      </c>
      <c r="V219" s="128"/>
      <c r="W219" s="128"/>
      <c r="X219" s="128"/>
      <c r="Y219"/>
      <c r="Z219"/>
      <c r="AA219"/>
      <c r="AB219"/>
      <c r="AC219"/>
      <c r="AD219"/>
      <c r="AE219"/>
      <c r="AF219"/>
    </row>
    <row r="220" spans="1:69" ht="20.25" customHeight="1">
      <c r="A220" s="188">
        <f t="shared" si="18"/>
        <v>2</v>
      </c>
      <c r="B220" s="126" t="s">
        <v>335</v>
      </c>
      <c r="C220" s="126">
        <v>2</v>
      </c>
      <c r="D220" s="173">
        <v>2011</v>
      </c>
      <c r="G220" s="176">
        <v>20000000</v>
      </c>
      <c r="H220" s="122"/>
      <c r="I220" s="123">
        <f>AB153</f>
        <v>1.033321993255717</v>
      </c>
      <c r="J220" s="19">
        <f t="shared" si="19"/>
        <v>20666439.86511434</v>
      </c>
      <c r="K220" s="174">
        <v>40576</v>
      </c>
      <c r="L220" s="175"/>
      <c r="M220" s="174" t="s">
        <v>476</v>
      </c>
      <c r="N220" s="104" t="s">
        <v>195</v>
      </c>
      <c r="O220" s="126"/>
      <c r="P220" s="126" t="s">
        <v>345</v>
      </c>
      <c r="Q220" s="126" t="s">
        <v>344</v>
      </c>
      <c r="R220" s="174" t="s">
        <v>476</v>
      </c>
      <c r="S220" s="104" t="s">
        <v>355</v>
      </c>
      <c r="T220" s="127" t="s">
        <v>477</v>
      </c>
      <c r="U220" s="119" t="s">
        <v>386</v>
      </c>
      <c r="V220" s="128"/>
      <c r="W220" s="128"/>
      <c r="X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row>
    <row r="221" spans="1:69" ht="20.25" customHeight="1">
      <c r="A221" s="188">
        <f t="shared" si="18"/>
        <v>3</v>
      </c>
      <c r="B221" s="126" t="s">
        <v>338</v>
      </c>
      <c r="C221" s="126">
        <v>3</v>
      </c>
      <c r="D221" s="173">
        <v>2011</v>
      </c>
      <c r="E221" s="126" t="s">
        <v>478</v>
      </c>
      <c r="G221" s="176">
        <v>34000000</v>
      </c>
      <c r="H221" s="177">
        <v>34000000</v>
      </c>
      <c r="I221" s="123">
        <f>AB153</f>
        <v>1.033321993255717</v>
      </c>
      <c r="J221" s="19">
        <f t="shared" si="19"/>
        <v>35132947.770694375</v>
      </c>
      <c r="K221" s="174">
        <v>40582</v>
      </c>
      <c r="L221" s="175">
        <v>40687</v>
      </c>
      <c r="M221" s="174"/>
      <c r="N221" s="104" t="s">
        <v>101</v>
      </c>
      <c r="O221" s="126"/>
      <c r="P221" s="126" t="s">
        <v>345</v>
      </c>
      <c r="Q221" s="126" t="s">
        <v>344</v>
      </c>
      <c r="R221" s="174">
        <v>40889</v>
      </c>
      <c r="S221" s="104" t="s">
        <v>355</v>
      </c>
      <c r="T221" s="127" t="s">
        <v>445</v>
      </c>
      <c r="U221" s="119" t="s">
        <v>351</v>
      </c>
      <c r="V221" s="128"/>
      <c r="W221" s="128"/>
      <c r="X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row>
    <row r="222" spans="1:69" ht="20.25" customHeight="1">
      <c r="A222" s="188">
        <f t="shared" si="18"/>
        <v>4</v>
      </c>
      <c r="B222" s="126" t="s">
        <v>335</v>
      </c>
      <c r="C222" s="126">
        <v>4</v>
      </c>
      <c r="D222" s="173">
        <v>2011</v>
      </c>
      <c r="G222" s="176">
        <v>969664.71</v>
      </c>
      <c r="H222" s="177">
        <v>969664.71</v>
      </c>
      <c r="I222" s="123">
        <f>AB153</f>
        <v>1.033321993255717</v>
      </c>
      <c r="J222" s="19">
        <f t="shared" si="19"/>
        <v>1001975.8709269267</v>
      </c>
      <c r="K222" s="174">
        <v>40589</v>
      </c>
      <c r="L222" s="175">
        <v>40693</v>
      </c>
      <c r="M222" s="174"/>
      <c r="N222" s="104" t="s">
        <v>101</v>
      </c>
      <c r="O222" s="126"/>
      <c r="P222" s="126" t="s">
        <v>345</v>
      </c>
      <c r="Q222" s="126" t="s">
        <v>344</v>
      </c>
      <c r="R222" s="174">
        <v>40837</v>
      </c>
      <c r="S222" s="104" t="s">
        <v>346</v>
      </c>
      <c r="T222" s="127" t="s">
        <v>479</v>
      </c>
      <c r="U222" s="119" t="s">
        <v>351</v>
      </c>
      <c r="V222" s="128"/>
      <c r="W222" s="128"/>
      <c r="X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row>
    <row r="223" spans="1:69" ht="20.25" customHeight="1">
      <c r="A223" s="188">
        <f t="shared" si="18"/>
        <v>5</v>
      </c>
      <c r="B223" s="126" t="s">
        <v>335</v>
      </c>
      <c r="C223" s="126">
        <v>5</v>
      </c>
      <c r="D223" s="173">
        <v>2011</v>
      </c>
      <c r="G223" s="176">
        <v>2000000</v>
      </c>
      <c r="H223" s="122"/>
      <c r="I223" s="123">
        <f>AB153</f>
        <v>1.033321993255717</v>
      </c>
      <c r="J223" s="19">
        <f t="shared" si="19"/>
        <v>2066643.986511434</v>
      </c>
      <c r="K223" s="174">
        <v>40591</v>
      </c>
      <c r="L223" s="175"/>
      <c r="M223" s="174"/>
      <c r="N223" s="104" t="s">
        <v>101</v>
      </c>
      <c r="O223" s="126"/>
      <c r="P223" s="126" t="s">
        <v>344</v>
      </c>
      <c r="Q223" s="126" t="s">
        <v>345</v>
      </c>
      <c r="R223" s="178" t="s">
        <v>480</v>
      </c>
      <c r="S223" s="127" t="s">
        <v>355</v>
      </c>
      <c r="T223" s="127" t="s">
        <v>481</v>
      </c>
      <c r="U223" s="119" t="s">
        <v>353</v>
      </c>
      <c r="V223" s="128"/>
      <c r="W223" s="128"/>
      <c r="X223" s="128"/>
      <c r="Y223" s="128"/>
      <c r="Z223" s="128"/>
      <c r="AA223" s="128"/>
      <c r="AB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row>
    <row r="224" spans="1:69" ht="20.25" customHeight="1">
      <c r="A224" s="188">
        <f t="shared" si="18"/>
        <v>6</v>
      </c>
      <c r="B224" s="126" t="s">
        <v>335</v>
      </c>
      <c r="C224" s="126">
        <v>6</v>
      </c>
      <c r="D224" s="173">
        <v>2011</v>
      </c>
      <c r="G224" s="176">
        <v>280000</v>
      </c>
      <c r="H224" s="177">
        <v>280000</v>
      </c>
      <c r="I224" s="123">
        <f>AB154</f>
        <v>1.023091082431403</v>
      </c>
      <c r="J224" s="19">
        <f t="shared" si="19"/>
        <v>286465.50308079284</v>
      </c>
      <c r="K224" s="174">
        <v>40605</v>
      </c>
      <c r="L224" s="175"/>
      <c r="M224" s="174"/>
      <c r="N224" s="104" t="s">
        <v>101</v>
      </c>
      <c r="O224" s="126"/>
      <c r="P224" s="126" t="s">
        <v>345</v>
      </c>
      <c r="Q224" s="126" t="s">
        <v>344</v>
      </c>
      <c r="R224" s="174">
        <v>40833</v>
      </c>
      <c r="S224" s="104" t="s">
        <v>355</v>
      </c>
      <c r="T224" s="127" t="s">
        <v>482</v>
      </c>
      <c r="U224" s="119" t="s">
        <v>351</v>
      </c>
      <c r="V224" s="128"/>
      <c r="W224" s="128"/>
      <c r="X224" s="128"/>
      <c r="Y224" s="128"/>
      <c r="Z224" s="128"/>
      <c r="AA224" s="128"/>
      <c r="AB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row>
    <row r="225" spans="1:69" ht="20.25" customHeight="1">
      <c r="A225" s="188">
        <f t="shared" si="18"/>
        <v>7</v>
      </c>
      <c r="B225" s="126" t="s">
        <v>335</v>
      </c>
      <c r="C225" s="126">
        <v>7</v>
      </c>
      <c r="D225" s="173">
        <v>2011</v>
      </c>
      <c r="G225" s="126" t="s">
        <v>452</v>
      </c>
      <c r="H225" s="179" t="s">
        <v>452</v>
      </c>
      <c r="I225" s="123">
        <f>AB154</f>
        <v>1.023091082431403</v>
      </c>
      <c r="J225" s="19">
        <v>0</v>
      </c>
      <c r="K225" s="174">
        <v>40618</v>
      </c>
      <c r="L225" s="140">
        <v>40660</v>
      </c>
      <c r="M225" s="174"/>
      <c r="N225" s="104" t="s">
        <v>101</v>
      </c>
      <c r="O225" s="126"/>
      <c r="P225" s="126" t="s">
        <v>364</v>
      </c>
      <c r="Q225" s="126" t="s">
        <v>345</v>
      </c>
      <c r="R225" s="174"/>
      <c r="S225" s="127"/>
      <c r="T225" s="127" t="s">
        <v>483</v>
      </c>
      <c r="U225" s="119" t="s">
        <v>351</v>
      </c>
      <c r="V225" s="128"/>
      <c r="W225" s="128"/>
      <c r="X225" s="128"/>
      <c r="Y225" s="128"/>
      <c r="Z225" s="128"/>
      <c r="AA225" s="128"/>
      <c r="AB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row>
    <row r="226" spans="1:69" ht="20.25" customHeight="1">
      <c r="A226" s="188">
        <f t="shared" si="18"/>
        <v>8</v>
      </c>
      <c r="B226" s="126" t="s">
        <v>338</v>
      </c>
      <c r="C226" s="126">
        <v>8</v>
      </c>
      <c r="D226" s="173">
        <v>2011</v>
      </c>
      <c r="G226" s="176">
        <v>1534012.11</v>
      </c>
      <c r="H226" s="122"/>
      <c r="I226" s="123">
        <f>AB154</f>
        <v>1.023091082431403</v>
      </c>
      <c r="J226" s="19">
        <f t="shared" si="19"/>
        <v>1569434.1100827805</v>
      </c>
      <c r="K226" s="174">
        <v>40630</v>
      </c>
      <c r="L226" s="175">
        <v>40630</v>
      </c>
      <c r="M226" s="174"/>
      <c r="N226" s="104" t="s">
        <v>101</v>
      </c>
      <c r="O226" s="126"/>
      <c r="P226" s="126" t="s">
        <v>364</v>
      </c>
      <c r="Q226" s="126" t="s">
        <v>344</v>
      </c>
      <c r="R226" s="174">
        <v>40841</v>
      </c>
      <c r="S226" s="127" t="s">
        <v>346</v>
      </c>
      <c r="T226" s="127" t="s">
        <v>484</v>
      </c>
      <c r="U226" s="119" t="s">
        <v>351</v>
      </c>
      <c r="V226" s="128"/>
      <c r="W226" s="128"/>
      <c r="X226" s="128"/>
      <c r="Y226" s="128"/>
      <c r="Z226" s="128"/>
      <c r="AA226" s="128"/>
      <c r="AB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row>
    <row r="227" spans="1:69" ht="20.25" customHeight="1">
      <c r="A227" s="188">
        <f t="shared" si="18"/>
        <v>9</v>
      </c>
      <c r="B227" s="126" t="s">
        <v>335</v>
      </c>
      <c r="C227" s="126">
        <v>9</v>
      </c>
      <c r="D227" s="173">
        <v>2011</v>
      </c>
      <c r="G227" s="176">
        <v>100000000</v>
      </c>
      <c r="H227" s="177"/>
      <c r="I227" s="123">
        <f>AB154</f>
        <v>1.023091082431403</v>
      </c>
      <c r="J227" s="19">
        <f t="shared" si="19"/>
        <v>102309108.2431403</v>
      </c>
      <c r="K227" s="174">
        <v>40630</v>
      </c>
      <c r="L227" s="175">
        <v>40714</v>
      </c>
      <c r="M227" s="126"/>
      <c r="N227" s="106" t="s">
        <v>101</v>
      </c>
      <c r="O227" s="126"/>
      <c r="P227" s="126" t="s">
        <v>345</v>
      </c>
      <c r="Q227" s="126" t="s">
        <v>344</v>
      </c>
      <c r="R227" s="174">
        <v>40844</v>
      </c>
      <c r="S227" s="127" t="s">
        <v>355</v>
      </c>
      <c r="T227" s="127" t="s">
        <v>485</v>
      </c>
      <c r="U227" s="119" t="s">
        <v>351</v>
      </c>
      <c r="V227" s="128"/>
      <c r="W227" s="128"/>
      <c r="X227" s="128"/>
      <c r="Y227" s="128"/>
      <c r="Z227" s="128"/>
      <c r="AA227" s="128"/>
      <c r="AB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row>
    <row r="228" spans="1:69" ht="20.25" customHeight="1">
      <c r="A228" s="188">
        <f t="shared" si="18"/>
        <v>10</v>
      </c>
      <c r="B228" s="126" t="s">
        <v>335</v>
      </c>
      <c r="C228" s="126">
        <v>10</v>
      </c>
      <c r="D228" s="173">
        <v>2011</v>
      </c>
      <c r="G228" s="176">
        <v>41333333.33</v>
      </c>
      <c r="H228" s="122"/>
      <c r="I228" s="123">
        <f>AB154</f>
        <v>1.023091082431403</v>
      </c>
      <c r="J228" s="19">
        <f t="shared" si="19"/>
        <v>42287764.73708769</v>
      </c>
      <c r="K228" s="174">
        <v>40632</v>
      </c>
      <c r="L228" s="175"/>
      <c r="M228" s="174"/>
      <c r="N228" s="104" t="s">
        <v>101</v>
      </c>
      <c r="O228" s="126"/>
      <c r="P228" s="126" t="s">
        <v>344</v>
      </c>
      <c r="Q228" s="126" t="s">
        <v>345</v>
      </c>
      <c r="R228" s="174">
        <v>40840</v>
      </c>
      <c r="S228" s="127" t="s">
        <v>355</v>
      </c>
      <c r="T228" s="127" t="s">
        <v>486</v>
      </c>
      <c r="U228" s="119" t="s">
        <v>353</v>
      </c>
      <c r="V228" s="128"/>
      <c r="W228" s="128"/>
      <c r="X228" s="128"/>
      <c r="Y228" s="128"/>
      <c r="Z228" s="128"/>
      <c r="AA228" s="128"/>
      <c r="AB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row>
    <row r="229" spans="1:69" ht="20.25" customHeight="1">
      <c r="A229" s="188">
        <f t="shared" si="18"/>
        <v>11</v>
      </c>
      <c r="B229" s="126" t="s">
        <v>338</v>
      </c>
      <c r="C229" s="126">
        <v>11</v>
      </c>
      <c r="D229" s="173">
        <v>2011</v>
      </c>
      <c r="G229" s="176">
        <v>36000000</v>
      </c>
      <c r="H229" s="177">
        <v>36000000</v>
      </c>
      <c r="I229" s="123">
        <f>AB155</f>
        <v>1.0167870030127242</v>
      </c>
      <c r="J229" s="19">
        <f t="shared" si="19"/>
        <v>36604332.10845807</v>
      </c>
      <c r="K229" s="174">
        <v>40634</v>
      </c>
      <c r="L229" s="175"/>
      <c r="M229" s="174"/>
      <c r="N229" s="104" t="s">
        <v>101</v>
      </c>
      <c r="O229" s="126"/>
      <c r="P229" s="126" t="s">
        <v>345</v>
      </c>
      <c r="Q229" s="126" t="s">
        <v>344</v>
      </c>
      <c r="R229" s="174">
        <v>40841</v>
      </c>
      <c r="S229" s="127" t="s">
        <v>355</v>
      </c>
      <c r="T229" s="127" t="s">
        <v>487</v>
      </c>
      <c r="U229" s="119" t="s">
        <v>351</v>
      </c>
      <c r="V229" s="128"/>
      <c r="W229" s="128"/>
      <c r="X229" s="128"/>
      <c r="Y229" s="128"/>
      <c r="Z229" s="128"/>
      <c r="AA229" s="128"/>
      <c r="AB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row>
    <row r="230" spans="1:69" ht="20.25" customHeight="1">
      <c r="A230" s="188">
        <f t="shared" si="18"/>
        <v>12</v>
      </c>
      <c r="B230" s="126" t="s">
        <v>335</v>
      </c>
      <c r="C230" s="126">
        <v>12</v>
      </c>
      <c r="D230" s="173">
        <v>2011</v>
      </c>
      <c r="G230" s="176">
        <v>42079381.99</v>
      </c>
      <c r="H230" s="122"/>
      <c r="I230" s="123">
        <f>AB155</f>
        <v>1.0167870030127242</v>
      </c>
      <c r="J230" s="19">
        <f t="shared" si="19"/>
        <v>42785768.70223971</v>
      </c>
      <c r="K230" s="174">
        <v>40651</v>
      </c>
      <c r="L230" s="175"/>
      <c r="M230" s="174"/>
      <c r="N230" s="104" t="s">
        <v>101</v>
      </c>
      <c r="O230" s="126"/>
      <c r="P230" s="126" t="s">
        <v>344</v>
      </c>
      <c r="Q230" s="126" t="s">
        <v>345</v>
      </c>
      <c r="R230" s="174">
        <v>40850</v>
      </c>
      <c r="S230" s="127" t="s">
        <v>355</v>
      </c>
      <c r="T230" s="127" t="s">
        <v>488</v>
      </c>
      <c r="U230" s="119" t="s">
        <v>353</v>
      </c>
      <c r="V230" s="128"/>
      <c r="W230" s="128"/>
      <c r="X230" s="128"/>
      <c r="Y230" s="128"/>
      <c r="Z230" s="128"/>
      <c r="AA230" s="128"/>
      <c r="AB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row>
    <row r="231" spans="1:69" ht="20.25" customHeight="1">
      <c r="A231" s="188">
        <f t="shared" si="18"/>
        <v>13</v>
      </c>
      <c r="B231" s="126" t="s">
        <v>335</v>
      </c>
      <c r="C231" s="126">
        <v>13</v>
      </c>
      <c r="D231" s="173">
        <v>2011</v>
      </c>
      <c r="G231" s="176">
        <v>300000</v>
      </c>
      <c r="H231" s="122"/>
      <c r="I231" s="123">
        <f>AB156</f>
        <v>1.0122319591963407</v>
      </c>
      <c r="J231" s="19">
        <f t="shared" si="19"/>
        <v>303669.5877589022</v>
      </c>
      <c r="K231" s="174">
        <v>40669</v>
      </c>
      <c r="L231" s="175"/>
      <c r="M231" s="174"/>
      <c r="N231" s="104" t="s">
        <v>310</v>
      </c>
      <c r="O231" s="126"/>
      <c r="P231" s="126" t="s">
        <v>344</v>
      </c>
      <c r="Q231" s="126" t="s">
        <v>345</v>
      </c>
      <c r="R231" s="174"/>
      <c r="S231" s="127"/>
      <c r="T231" s="127" t="s">
        <v>489</v>
      </c>
      <c r="U231" s="119" t="s">
        <v>348</v>
      </c>
      <c r="V231" s="128"/>
      <c r="W231" s="128"/>
      <c r="X231" s="128"/>
      <c r="Y231" s="128"/>
      <c r="Z231" s="128"/>
      <c r="AA231" s="128"/>
      <c r="AB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row>
    <row r="232" spans="1:69" ht="20.25" customHeight="1">
      <c r="A232" s="188">
        <f t="shared" si="18"/>
        <v>14</v>
      </c>
      <c r="B232" s="126" t="s">
        <v>335</v>
      </c>
      <c r="C232" s="126">
        <v>14</v>
      </c>
      <c r="D232" s="173">
        <v>2011</v>
      </c>
      <c r="G232" s="176">
        <v>715000</v>
      </c>
      <c r="H232" s="122"/>
      <c r="I232" s="123">
        <f>AB156</f>
        <v>1.0122319591963407</v>
      </c>
      <c r="J232" s="19">
        <f t="shared" si="19"/>
        <v>723745.8508253836</v>
      </c>
      <c r="K232" s="174">
        <v>40669</v>
      </c>
      <c r="L232" s="175"/>
      <c r="M232" s="174"/>
      <c r="N232" s="104" t="s">
        <v>310</v>
      </c>
      <c r="O232" s="126"/>
      <c r="P232" s="126" t="s">
        <v>344</v>
      </c>
      <c r="Q232" s="126" t="s">
        <v>345</v>
      </c>
      <c r="R232" s="174"/>
      <c r="S232" s="127"/>
      <c r="T232" s="127" t="s">
        <v>489</v>
      </c>
      <c r="U232" s="119" t="s">
        <v>348</v>
      </c>
      <c r="V232" s="128"/>
      <c r="W232" s="128"/>
      <c r="X232" s="128"/>
      <c r="Y232" s="128"/>
      <c r="Z232" s="128"/>
      <c r="AA232" s="128"/>
      <c r="AB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row>
    <row r="233" spans="1:69" ht="20.25" customHeight="1">
      <c r="A233" s="188">
        <f t="shared" si="18"/>
        <v>15</v>
      </c>
      <c r="B233" s="126" t="s">
        <v>338</v>
      </c>
      <c r="C233" s="126">
        <v>15</v>
      </c>
      <c r="D233" s="173">
        <v>2011</v>
      </c>
      <c r="G233" s="176">
        <v>20000000</v>
      </c>
      <c r="H233" s="122"/>
      <c r="I233" s="123">
        <f>AB156</f>
        <v>1.0122319591963407</v>
      </c>
      <c r="J233" s="19">
        <f t="shared" si="19"/>
        <v>20244639.183926813</v>
      </c>
      <c r="K233" s="174">
        <v>40681</v>
      </c>
      <c r="L233" s="175"/>
      <c r="M233" s="174"/>
      <c r="N233" s="104" t="s">
        <v>101</v>
      </c>
      <c r="O233" s="126"/>
      <c r="P233" s="126" t="s">
        <v>345</v>
      </c>
      <c r="Q233" s="126" t="s">
        <v>344</v>
      </c>
      <c r="R233" s="174">
        <v>40844</v>
      </c>
      <c r="S233" s="127" t="s">
        <v>355</v>
      </c>
      <c r="T233" s="127" t="s">
        <v>485</v>
      </c>
      <c r="U233" s="119" t="s">
        <v>351</v>
      </c>
      <c r="V233" s="128"/>
      <c r="W233" s="128"/>
      <c r="X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row>
    <row r="234" spans="1:69" ht="20.25" customHeight="1">
      <c r="A234" s="188">
        <f t="shared" si="18"/>
        <v>16</v>
      </c>
      <c r="B234" s="126" t="s">
        <v>335</v>
      </c>
      <c r="C234" s="126">
        <v>16</v>
      </c>
      <c r="D234" s="173">
        <v>2011</v>
      </c>
      <c r="G234" s="176">
        <v>6153261.82</v>
      </c>
      <c r="H234" s="122"/>
      <c r="I234" s="123">
        <f>AB156</f>
        <v>1.0122319591963407</v>
      </c>
      <c r="J234" s="19">
        <f t="shared" si="19"/>
        <v>6228528.267506641</v>
      </c>
      <c r="K234" s="174">
        <v>40686</v>
      </c>
      <c r="L234" s="175">
        <v>40686</v>
      </c>
      <c r="M234" s="174"/>
      <c r="N234" s="104" t="s">
        <v>101</v>
      </c>
      <c r="O234" s="126"/>
      <c r="P234" s="126" t="s">
        <v>364</v>
      </c>
      <c r="Q234" s="126" t="s">
        <v>344</v>
      </c>
      <c r="R234" s="174">
        <v>40841</v>
      </c>
      <c r="S234" s="127" t="s">
        <v>346</v>
      </c>
      <c r="T234" s="127" t="s">
        <v>490</v>
      </c>
      <c r="U234" s="119" t="s">
        <v>351</v>
      </c>
      <c r="V234" s="128"/>
      <c r="W234" s="128"/>
      <c r="X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row>
    <row r="235" spans="1:69" ht="20.25" customHeight="1">
      <c r="A235" s="188">
        <f t="shared" si="18"/>
        <v>17</v>
      </c>
      <c r="B235" s="126" t="s">
        <v>335</v>
      </c>
      <c r="C235" s="126">
        <v>17</v>
      </c>
      <c r="D235" s="173">
        <v>2011</v>
      </c>
      <c r="G235" s="176">
        <v>1000000</v>
      </c>
      <c r="H235" s="122"/>
      <c r="I235" s="123">
        <f>AB156</f>
        <v>1.0122319591963407</v>
      </c>
      <c r="J235" s="19">
        <f t="shared" si="19"/>
        <v>1012231.9591963406</v>
      </c>
      <c r="K235" s="174">
        <v>40686</v>
      </c>
      <c r="L235" s="175" t="s">
        <v>491</v>
      </c>
      <c r="M235" s="174"/>
      <c r="N235" s="104" t="s">
        <v>101</v>
      </c>
      <c r="O235" s="126"/>
      <c r="P235" s="126" t="s">
        <v>345</v>
      </c>
      <c r="Q235" s="126" t="s">
        <v>344</v>
      </c>
      <c r="R235" s="174">
        <v>40838</v>
      </c>
      <c r="S235" s="127" t="s">
        <v>355</v>
      </c>
      <c r="T235" s="127" t="s">
        <v>492</v>
      </c>
      <c r="U235" s="119" t="s">
        <v>351</v>
      </c>
      <c r="V235" s="128"/>
      <c r="W235" s="128"/>
      <c r="X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row>
    <row r="236" spans="1:69" ht="20.25" customHeight="1">
      <c r="A236" s="188">
        <f t="shared" si="18"/>
        <v>18</v>
      </c>
      <c r="B236" s="126" t="s">
        <v>338</v>
      </c>
      <c r="C236" s="126">
        <v>18</v>
      </c>
      <c r="D236" s="173">
        <v>2011</v>
      </c>
      <c r="G236" s="176">
        <v>37000000</v>
      </c>
      <c r="H236" s="122"/>
      <c r="I236" s="123">
        <f>AB156</f>
        <v>1.0122319591963407</v>
      </c>
      <c r="J236" s="19">
        <f t="shared" si="19"/>
        <v>37452582.4902646</v>
      </c>
      <c r="K236" s="174">
        <v>40689</v>
      </c>
      <c r="L236" s="175"/>
      <c r="M236" s="174"/>
      <c r="N236" s="104" t="s">
        <v>101</v>
      </c>
      <c r="O236" s="126"/>
      <c r="P236" s="126" t="s">
        <v>344</v>
      </c>
      <c r="Q236" s="126" t="s">
        <v>345</v>
      </c>
      <c r="R236" s="174">
        <v>40854</v>
      </c>
      <c r="S236" s="127" t="s">
        <v>493</v>
      </c>
      <c r="T236" s="127" t="s">
        <v>494</v>
      </c>
      <c r="U236" s="119" t="s">
        <v>353</v>
      </c>
      <c r="V236" s="128"/>
      <c r="W236" s="128"/>
      <c r="X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row>
    <row r="237" spans="1:69" ht="20.25" customHeight="1">
      <c r="A237" s="188">
        <f t="shared" si="18"/>
        <v>19</v>
      </c>
      <c r="B237" s="126" t="s">
        <v>335</v>
      </c>
      <c r="C237" s="126">
        <v>19</v>
      </c>
      <c r="D237" s="173">
        <v>2011</v>
      </c>
      <c r="G237" s="176">
        <v>2500000</v>
      </c>
      <c r="H237" s="122"/>
      <c r="I237" s="123">
        <f>AB156</f>
        <v>1.0122319591963407</v>
      </c>
      <c r="J237" s="19">
        <f t="shared" si="19"/>
        <v>2530579.8979908517</v>
      </c>
      <c r="K237" s="174">
        <v>40690</v>
      </c>
      <c r="L237" s="175"/>
      <c r="M237" s="174"/>
      <c r="N237" s="104" t="s">
        <v>101</v>
      </c>
      <c r="O237" s="126"/>
      <c r="P237" s="126" t="s">
        <v>345</v>
      </c>
      <c r="Q237" s="126" t="s">
        <v>344</v>
      </c>
      <c r="R237" s="174">
        <v>40864</v>
      </c>
      <c r="S237" s="127" t="s">
        <v>355</v>
      </c>
      <c r="T237" s="127" t="s">
        <v>495</v>
      </c>
      <c r="U237" s="119" t="s">
        <v>351</v>
      </c>
      <c r="V237" s="128"/>
      <c r="W237" s="128"/>
      <c r="X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row>
    <row r="238" spans="1:69" ht="20.25" customHeight="1">
      <c r="A238" s="188">
        <f t="shared" si="18"/>
        <v>20</v>
      </c>
      <c r="B238" s="126" t="s">
        <v>338</v>
      </c>
      <c r="C238" s="126">
        <v>20</v>
      </c>
      <c r="D238" s="173">
        <v>2011</v>
      </c>
      <c r="G238" s="176">
        <v>10000000</v>
      </c>
      <c r="H238" s="122"/>
      <c r="I238" s="123">
        <f>AB157</f>
        <v>1.0078979978057758</v>
      </c>
      <c r="J238" s="19">
        <f t="shared" si="19"/>
        <v>10078979.978057759</v>
      </c>
      <c r="K238" s="174">
        <v>40700</v>
      </c>
      <c r="L238" s="175">
        <v>40700</v>
      </c>
      <c r="M238" s="174"/>
      <c r="N238" s="104" t="s">
        <v>101</v>
      </c>
      <c r="O238" s="126"/>
      <c r="P238" s="126" t="s">
        <v>364</v>
      </c>
      <c r="Q238" s="126" t="s">
        <v>344</v>
      </c>
      <c r="R238" s="174">
        <v>40857</v>
      </c>
      <c r="S238" s="127" t="s">
        <v>355</v>
      </c>
      <c r="T238" s="127" t="s">
        <v>496</v>
      </c>
      <c r="U238" s="119" t="s">
        <v>351</v>
      </c>
      <c r="V238" s="128"/>
      <c r="W238" s="128"/>
      <c r="X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row>
    <row r="239" spans="1:69" ht="20.25" customHeight="1">
      <c r="A239" s="188">
        <f t="shared" si="18"/>
        <v>21</v>
      </c>
      <c r="B239" s="126" t="s">
        <v>335</v>
      </c>
      <c r="C239" s="126">
        <v>21</v>
      </c>
      <c r="D239" s="173">
        <v>2011</v>
      </c>
      <c r="G239" s="180">
        <v>43798672.54</v>
      </c>
      <c r="H239" s="122"/>
      <c r="I239" s="123">
        <f>AB157</f>
        <v>1.0078979978057758</v>
      </c>
      <c r="J239" s="19">
        <f t="shared" si="19"/>
        <v>44144594.359616816</v>
      </c>
      <c r="K239" s="174">
        <v>40701</v>
      </c>
      <c r="L239" s="175"/>
      <c r="M239" s="174"/>
      <c r="N239" s="104" t="s">
        <v>101</v>
      </c>
      <c r="O239" s="126"/>
      <c r="P239" s="126" t="s">
        <v>345</v>
      </c>
      <c r="Q239" s="126" t="s">
        <v>344</v>
      </c>
      <c r="R239" s="181">
        <v>40843</v>
      </c>
      <c r="S239" s="127" t="s">
        <v>355</v>
      </c>
      <c r="T239" s="127" t="s">
        <v>497</v>
      </c>
      <c r="U239" s="119" t="s">
        <v>351</v>
      </c>
      <c r="V239" s="128"/>
      <c r="W239" s="128"/>
      <c r="X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row>
    <row r="240" spans="1:69" ht="20.25" customHeight="1">
      <c r="A240" s="188">
        <f t="shared" si="18"/>
        <v>22</v>
      </c>
      <c r="B240" s="126" t="s">
        <v>335</v>
      </c>
      <c r="C240" s="126">
        <v>22</v>
      </c>
      <c r="D240" s="173">
        <v>2011</v>
      </c>
      <c r="G240" s="176">
        <v>8000000</v>
      </c>
      <c r="H240" s="122"/>
      <c r="I240" s="123">
        <f>AB157</f>
        <v>1.0078979978057758</v>
      </c>
      <c r="J240" s="19">
        <f t="shared" si="19"/>
        <v>8063183.982446207</v>
      </c>
      <c r="K240" s="174">
        <v>40704</v>
      </c>
      <c r="L240" s="175"/>
      <c r="M240" s="174"/>
      <c r="N240" s="104" t="s">
        <v>195</v>
      </c>
      <c r="O240" s="126"/>
      <c r="P240" s="126" t="s">
        <v>344</v>
      </c>
      <c r="Q240" s="126" t="s">
        <v>345</v>
      </c>
      <c r="R240" s="174"/>
      <c r="S240" s="127" t="s">
        <v>498</v>
      </c>
      <c r="T240" s="127" t="s">
        <v>499</v>
      </c>
      <c r="U240" s="119" t="s">
        <v>420</v>
      </c>
      <c r="V240" s="128"/>
      <c r="W240" s="128"/>
      <c r="X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row>
    <row r="241" spans="1:69" ht="20.25" customHeight="1">
      <c r="A241" s="188">
        <f t="shared" si="18"/>
        <v>23</v>
      </c>
      <c r="B241" s="126" t="s">
        <v>335</v>
      </c>
      <c r="C241" s="126">
        <v>23</v>
      </c>
      <c r="D241" s="173">
        <v>2011</v>
      </c>
      <c r="G241" s="176">
        <v>160000</v>
      </c>
      <c r="H241" s="122"/>
      <c r="I241" s="123">
        <f>AB157</f>
        <v>1.0078979978057758</v>
      </c>
      <c r="J241" s="19">
        <f t="shared" si="19"/>
        <v>161263.67964892412</v>
      </c>
      <c r="K241" s="174">
        <v>40708</v>
      </c>
      <c r="L241" s="175"/>
      <c r="M241" s="174"/>
      <c r="N241" s="104" t="s">
        <v>311</v>
      </c>
      <c r="O241" s="126"/>
      <c r="P241" s="126" t="s">
        <v>345</v>
      </c>
      <c r="Q241" s="126" t="s">
        <v>344</v>
      </c>
      <c r="R241" s="174">
        <v>40846</v>
      </c>
      <c r="S241" s="127" t="s">
        <v>355</v>
      </c>
      <c r="T241" s="127" t="s">
        <v>500</v>
      </c>
      <c r="U241" s="119" t="s">
        <v>351</v>
      </c>
      <c r="V241" s="128"/>
      <c r="W241" s="128"/>
      <c r="X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row>
    <row r="242" spans="1:69" ht="20.25" customHeight="1">
      <c r="A242" s="188">
        <f t="shared" si="18"/>
        <v>24</v>
      </c>
      <c r="B242" s="126" t="s">
        <v>338</v>
      </c>
      <c r="C242" s="126">
        <v>24</v>
      </c>
      <c r="D242" s="173">
        <v>2011</v>
      </c>
      <c r="G242" s="176">
        <v>32000000</v>
      </c>
      <c r="H242" s="122"/>
      <c r="I242" s="123">
        <f>AB156</f>
        <v>1.0122319591963407</v>
      </c>
      <c r="J242" s="19">
        <f t="shared" si="19"/>
        <v>32391422.6942829</v>
      </c>
      <c r="K242" s="174">
        <v>40709</v>
      </c>
      <c r="L242" s="175"/>
      <c r="M242" s="174"/>
      <c r="N242" s="104" t="s">
        <v>101</v>
      </c>
      <c r="O242" s="126"/>
      <c r="P242" s="126" t="s">
        <v>344</v>
      </c>
      <c r="Q242" s="126" t="s">
        <v>345</v>
      </c>
      <c r="R242" s="174">
        <v>40866</v>
      </c>
      <c r="S242" s="127" t="s">
        <v>501</v>
      </c>
      <c r="T242" s="127" t="s">
        <v>502</v>
      </c>
      <c r="U242" s="119" t="s">
        <v>353</v>
      </c>
      <c r="V242" s="128"/>
      <c r="W242" s="128"/>
      <c r="X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row>
    <row r="243" spans="1:69" ht="20.25" customHeight="1">
      <c r="A243" s="188">
        <f t="shared" si="18"/>
        <v>25</v>
      </c>
      <c r="B243" s="126" t="s">
        <v>335</v>
      </c>
      <c r="C243" s="126">
        <v>25</v>
      </c>
      <c r="D243" s="173">
        <v>2011</v>
      </c>
      <c r="G243" s="176">
        <v>792404.92</v>
      </c>
      <c r="H243" s="122"/>
      <c r="I243" s="123">
        <f>AB157</f>
        <v>1.0078979978057758</v>
      </c>
      <c r="J243" s="19">
        <f t="shared" si="19"/>
        <v>798663.332319446</v>
      </c>
      <c r="K243" s="174" t="s">
        <v>269</v>
      </c>
      <c r="L243" s="175"/>
      <c r="M243" s="174"/>
      <c r="N243" s="104" t="s">
        <v>101</v>
      </c>
      <c r="O243" s="126"/>
      <c r="P243" s="126" t="s">
        <v>345</v>
      </c>
      <c r="Q243" s="126" t="s">
        <v>344</v>
      </c>
      <c r="R243" s="174">
        <v>40833</v>
      </c>
      <c r="S243" s="104" t="s">
        <v>346</v>
      </c>
      <c r="T243" s="127" t="s">
        <v>503</v>
      </c>
      <c r="U243" s="119" t="s">
        <v>351</v>
      </c>
      <c r="V243" s="128"/>
      <c r="W243" s="128"/>
      <c r="X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row>
    <row r="244" spans="1:69" ht="20.25" customHeight="1">
      <c r="A244" s="188">
        <f t="shared" si="18"/>
        <v>26</v>
      </c>
      <c r="B244" s="126" t="s">
        <v>335</v>
      </c>
      <c r="C244" s="126">
        <v>26</v>
      </c>
      <c r="D244" s="173">
        <v>2011</v>
      </c>
      <c r="G244" s="176">
        <v>49897784.35</v>
      </c>
      <c r="H244" s="122"/>
      <c r="I244" s="123">
        <f>AB157</f>
        <v>1.0078979978057758</v>
      </c>
      <c r="J244" s="19">
        <f t="shared" si="19"/>
        <v>50291876.94130938</v>
      </c>
      <c r="K244" s="174">
        <v>40714</v>
      </c>
      <c r="L244" s="175"/>
      <c r="M244" s="174"/>
      <c r="N244" s="104" t="s">
        <v>101</v>
      </c>
      <c r="O244" s="126"/>
      <c r="P244" s="126" t="s">
        <v>345</v>
      </c>
      <c r="Q244" s="126" t="s">
        <v>344</v>
      </c>
      <c r="R244" s="174">
        <v>40850</v>
      </c>
      <c r="S244" s="127" t="s">
        <v>501</v>
      </c>
      <c r="T244" s="127" t="s">
        <v>504</v>
      </c>
      <c r="U244" s="119" t="s">
        <v>351</v>
      </c>
      <c r="V244" s="128"/>
      <c r="W244" s="128"/>
      <c r="X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row>
    <row r="245" spans="1:69" ht="20.25" customHeight="1">
      <c r="A245" s="188">
        <f t="shared" si="18"/>
        <v>27</v>
      </c>
      <c r="B245" s="126" t="s">
        <v>335</v>
      </c>
      <c r="C245" s="126">
        <v>27</v>
      </c>
      <c r="D245" s="173">
        <v>2011</v>
      </c>
      <c r="G245" s="182">
        <v>100000</v>
      </c>
      <c r="H245" s="122"/>
      <c r="I245" s="123">
        <f>AB158</f>
        <v>1.00971548568</v>
      </c>
      <c r="J245" s="19">
        <f t="shared" si="19"/>
        <v>100971.548568</v>
      </c>
      <c r="K245" s="174">
        <v>40738</v>
      </c>
      <c r="L245" s="175"/>
      <c r="M245" s="174"/>
      <c r="N245" s="104" t="s">
        <v>101</v>
      </c>
      <c r="O245" s="126"/>
      <c r="P245" s="126" t="s">
        <v>345</v>
      </c>
      <c r="Q245" s="126" t="s">
        <v>344</v>
      </c>
      <c r="R245" s="174">
        <v>40793</v>
      </c>
      <c r="S245" s="104" t="s">
        <v>346</v>
      </c>
      <c r="T245" s="126" t="s">
        <v>505</v>
      </c>
      <c r="U245" s="119" t="s">
        <v>351</v>
      </c>
      <c r="V245" s="128"/>
      <c r="W245" s="128"/>
      <c r="X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row>
    <row r="246" spans="1:69" ht="20.25" customHeight="1">
      <c r="A246" s="188">
        <f t="shared" si="18"/>
        <v>28</v>
      </c>
      <c r="B246" s="126" t="s">
        <v>335</v>
      </c>
      <c r="C246" s="126">
        <v>28</v>
      </c>
      <c r="D246" s="173">
        <v>2011</v>
      </c>
      <c r="G246" s="176">
        <v>1204453.35</v>
      </c>
      <c r="H246" s="122"/>
      <c r="I246" s="123">
        <f>AB157</f>
        <v>1.0078979978057758</v>
      </c>
      <c r="J246" s="19">
        <f t="shared" si="19"/>
        <v>1213966.1199154595</v>
      </c>
      <c r="K246" s="174">
        <v>40715</v>
      </c>
      <c r="L246" s="175"/>
      <c r="M246" s="174"/>
      <c r="N246" s="104" t="s">
        <v>101</v>
      </c>
      <c r="O246" s="126"/>
      <c r="P246" s="126" t="s">
        <v>344</v>
      </c>
      <c r="Q246" s="126" t="s">
        <v>345</v>
      </c>
      <c r="R246" s="174">
        <v>40840</v>
      </c>
      <c r="S246" s="127" t="s">
        <v>506</v>
      </c>
      <c r="T246" s="127" t="s">
        <v>507</v>
      </c>
      <c r="U246" s="119" t="s">
        <v>353</v>
      </c>
      <c r="V246" s="128"/>
      <c r="W246" s="128"/>
      <c r="X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row>
    <row r="247" spans="1:69" ht="20.25" customHeight="1">
      <c r="A247" s="188">
        <f t="shared" si="18"/>
        <v>29</v>
      </c>
      <c r="B247" s="126" t="s">
        <v>335</v>
      </c>
      <c r="C247" s="126">
        <v>29</v>
      </c>
      <c r="D247" s="173">
        <v>2011</v>
      </c>
      <c r="G247" s="176">
        <v>38400426.43</v>
      </c>
      <c r="H247" s="122"/>
      <c r="I247" s="123">
        <f>AB157</f>
        <v>1.0078979978057758</v>
      </c>
      <c r="J247" s="19">
        <f t="shared" si="19"/>
        <v>38703712.913684994</v>
      </c>
      <c r="K247" s="174">
        <v>40724</v>
      </c>
      <c r="L247" s="175"/>
      <c r="M247" s="174"/>
      <c r="N247" s="104" t="s">
        <v>101</v>
      </c>
      <c r="O247" s="126"/>
      <c r="P247" s="126" t="s">
        <v>345</v>
      </c>
      <c r="Q247" s="126" t="s">
        <v>344</v>
      </c>
      <c r="R247" s="174">
        <v>40827</v>
      </c>
      <c r="S247" s="104" t="s">
        <v>346</v>
      </c>
      <c r="T247" s="127" t="s">
        <v>508</v>
      </c>
      <c r="U247" s="119" t="s">
        <v>351</v>
      </c>
      <c r="V247" s="128"/>
      <c r="W247" s="128"/>
      <c r="X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row>
    <row r="248" spans="1:69" ht="20.25" customHeight="1">
      <c r="A248" s="188">
        <f t="shared" si="18"/>
        <v>30</v>
      </c>
      <c r="B248" s="126" t="s">
        <v>335</v>
      </c>
      <c r="C248" s="126">
        <v>30</v>
      </c>
      <c r="D248" s="173">
        <v>2011</v>
      </c>
      <c r="G248" s="176">
        <v>25000000</v>
      </c>
      <c r="H248" s="122"/>
      <c r="I248" s="123">
        <f>AB157</f>
        <v>1.0078979978057758</v>
      </c>
      <c r="J248" s="19">
        <f t="shared" si="19"/>
        <v>25197449.945144396</v>
      </c>
      <c r="K248" s="174">
        <v>40724</v>
      </c>
      <c r="L248" s="175"/>
      <c r="M248" s="174"/>
      <c r="N248" s="104" t="s">
        <v>101</v>
      </c>
      <c r="O248" s="126"/>
      <c r="P248" s="126" t="s">
        <v>344</v>
      </c>
      <c r="Q248" s="126" t="s">
        <v>345</v>
      </c>
      <c r="R248" s="174">
        <v>40871</v>
      </c>
      <c r="S248" s="127" t="s">
        <v>346</v>
      </c>
      <c r="T248" s="127" t="s">
        <v>507</v>
      </c>
      <c r="U248" s="119" t="s">
        <v>353</v>
      </c>
      <c r="V248" s="128"/>
      <c r="W248" s="128"/>
      <c r="X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row>
    <row r="249" spans="1:69" ht="20.25" customHeight="1">
      <c r="A249" s="188">
        <f t="shared" si="18"/>
        <v>31</v>
      </c>
      <c r="B249" s="126" t="s">
        <v>338</v>
      </c>
      <c r="C249" s="126">
        <v>31</v>
      </c>
      <c r="D249" s="173">
        <v>2011</v>
      </c>
      <c r="G249" s="182">
        <v>100000</v>
      </c>
      <c r="H249" s="122"/>
      <c r="I249" s="123">
        <f>AB158</f>
        <v>1.00971548568</v>
      </c>
      <c r="J249" s="19">
        <f t="shared" si="19"/>
        <v>100971.548568</v>
      </c>
      <c r="K249" s="174">
        <v>40745</v>
      </c>
      <c r="L249" s="122"/>
      <c r="M249" s="103"/>
      <c r="N249" s="104" t="s">
        <v>312</v>
      </c>
      <c r="O249" s="103"/>
      <c r="P249" s="126" t="s">
        <v>345</v>
      </c>
      <c r="Q249" s="126" t="s">
        <v>344</v>
      </c>
      <c r="R249" s="174">
        <v>40788</v>
      </c>
      <c r="S249" s="104" t="s">
        <v>346</v>
      </c>
      <c r="T249" s="127" t="s">
        <v>509</v>
      </c>
      <c r="U249" s="119" t="s">
        <v>510</v>
      </c>
      <c r="V249" s="128"/>
      <c r="W249" s="128"/>
      <c r="X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row>
    <row r="250" spans="1:69" ht="20.25" customHeight="1">
      <c r="A250" s="188">
        <f t="shared" si="18"/>
        <v>32</v>
      </c>
      <c r="B250" s="126" t="s">
        <v>338</v>
      </c>
      <c r="C250" s="126">
        <v>32</v>
      </c>
      <c r="D250" s="173">
        <v>2011</v>
      </c>
      <c r="G250" s="136" t="s">
        <v>452</v>
      </c>
      <c r="H250" s="122"/>
      <c r="I250" s="123">
        <f>AB159</f>
        <v>1.0109286</v>
      </c>
      <c r="J250" s="19">
        <v>0</v>
      </c>
      <c r="K250" s="174">
        <v>40757</v>
      </c>
      <c r="L250" s="122"/>
      <c r="M250" s="103"/>
      <c r="N250" s="104" t="s">
        <v>101</v>
      </c>
      <c r="O250" s="103"/>
      <c r="P250" s="126" t="s">
        <v>344</v>
      </c>
      <c r="Q250" s="126" t="s">
        <v>345</v>
      </c>
      <c r="R250" s="174">
        <v>40871</v>
      </c>
      <c r="S250" s="127" t="s">
        <v>346</v>
      </c>
      <c r="T250" s="127" t="s">
        <v>511</v>
      </c>
      <c r="U250" s="119" t="s">
        <v>353</v>
      </c>
      <c r="V250" s="128"/>
      <c r="W250" s="128"/>
      <c r="X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row>
    <row r="251" spans="1:69" ht="20.25" customHeight="1">
      <c r="A251" s="188">
        <f t="shared" si="18"/>
        <v>33</v>
      </c>
      <c r="B251" s="126" t="s">
        <v>338</v>
      </c>
      <c r="C251" s="126">
        <v>33</v>
      </c>
      <c r="D251" s="173">
        <v>2011</v>
      </c>
      <c r="G251" s="136" t="s">
        <v>452</v>
      </c>
      <c r="H251" s="122"/>
      <c r="I251" s="123">
        <f>AB159</f>
        <v>1.0109286</v>
      </c>
      <c r="J251" s="19">
        <v>0</v>
      </c>
      <c r="K251" s="174"/>
      <c r="L251" s="175"/>
      <c r="M251" s="174"/>
      <c r="N251" s="104"/>
      <c r="O251" s="126"/>
      <c r="P251" s="126" t="s">
        <v>344</v>
      </c>
      <c r="Q251" s="126" t="s">
        <v>345</v>
      </c>
      <c r="R251" s="174">
        <v>40795</v>
      </c>
      <c r="S251" s="127" t="s">
        <v>355</v>
      </c>
      <c r="T251" s="126" t="s">
        <v>512</v>
      </c>
      <c r="U251" s="119" t="s">
        <v>513</v>
      </c>
      <c r="V251" s="128"/>
      <c r="W251" s="128"/>
      <c r="X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row>
    <row r="252" spans="1:69" ht="20.25" customHeight="1">
      <c r="A252" s="188">
        <f t="shared" si="18"/>
        <v>34</v>
      </c>
      <c r="B252" s="126" t="s">
        <v>338</v>
      </c>
      <c r="C252" s="126">
        <v>34</v>
      </c>
      <c r="D252" s="173">
        <v>2011</v>
      </c>
      <c r="G252" s="176">
        <v>1007067.15</v>
      </c>
      <c r="H252" s="122"/>
      <c r="I252" s="123">
        <f>AB159</f>
        <v>1.0109286</v>
      </c>
      <c r="J252" s="19">
        <f t="shared" si="19"/>
        <v>1018072.98405549</v>
      </c>
      <c r="K252" s="174">
        <v>40770</v>
      </c>
      <c r="L252" s="175"/>
      <c r="M252" s="174"/>
      <c r="N252" s="104" t="s">
        <v>101</v>
      </c>
      <c r="O252" s="126"/>
      <c r="P252" s="126" t="s">
        <v>344</v>
      </c>
      <c r="Q252" s="126" t="s">
        <v>345</v>
      </c>
      <c r="R252" s="174">
        <v>40871</v>
      </c>
      <c r="S252" s="104" t="s">
        <v>346</v>
      </c>
      <c r="T252" s="127" t="s">
        <v>507</v>
      </c>
      <c r="U252" s="119" t="s">
        <v>353</v>
      </c>
      <c r="V252" s="128"/>
      <c r="W252" s="128"/>
      <c r="X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row>
    <row r="253" spans="1:69" ht="20.25" customHeight="1">
      <c r="A253" s="188">
        <f t="shared" si="18"/>
        <v>35</v>
      </c>
      <c r="B253" s="126" t="s">
        <v>338</v>
      </c>
      <c r="C253" s="126">
        <v>35</v>
      </c>
      <c r="D253" s="173">
        <v>2011</v>
      </c>
      <c r="G253" s="183">
        <v>2266781.6</v>
      </c>
      <c r="H253" s="122"/>
      <c r="I253" s="123">
        <f>AB159</f>
        <v>1.0109286</v>
      </c>
      <c r="J253" s="19">
        <f t="shared" si="19"/>
        <v>2291554.34939376</v>
      </c>
      <c r="K253" s="174">
        <v>40779</v>
      </c>
      <c r="L253" s="175"/>
      <c r="M253" s="174"/>
      <c r="N253" s="104" t="s">
        <v>101</v>
      </c>
      <c r="O253" s="126"/>
      <c r="P253" s="126" t="s">
        <v>345</v>
      </c>
      <c r="Q253" s="126" t="s">
        <v>344</v>
      </c>
      <c r="R253" s="174">
        <v>40841</v>
      </c>
      <c r="S253" s="127" t="s">
        <v>501</v>
      </c>
      <c r="T253" s="127" t="s">
        <v>514</v>
      </c>
      <c r="U253" s="119" t="s">
        <v>351</v>
      </c>
      <c r="V253" s="128"/>
      <c r="W253" s="128"/>
      <c r="X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row>
    <row r="254" spans="1:69" ht="20.25" customHeight="1">
      <c r="A254" s="188">
        <f t="shared" si="18"/>
        <v>36</v>
      </c>
      <c r="B254" s="126" t="s">
        <v>338</v>
      </c>
      <c r="C254" s="126">
        <v>36</v>
      </c>
      <c r="D254" s="173">
        <v>2011</v>
      </c>
      <c r="G254" s="184">
        <v>7500000</v>
      </c>
      <c r="H254" s="122"/>
      <c r="I254" s="123">
        <f>AB159</f>
        <v>1.0109286</v>
      </c>
      <c r="J254" s="19">
        <f t="shared" si="19"/>
        <v>7581964.5</v>
      </c>
      <c r="K254" s="174">
        <v>40786</v>
      </c>
      <c r="L254" s="175"/>
      <c r="M254" s="174"/>
      <c r="N254" s="104" t="s">
        <v>101</v>
      </c>
      <c r="O254" s="126"/>
      <c r="P254" s="126" t="s">
        <v>345</v>
      </c>
      <c r="Q254" s="126" t="s">
        <v>344</v>
      </c>
      <c r="R254" s="174">
        <v>40842</v>
      </c>
      <c r="S254" s="127" t="s">
        <v>515</v>
      </c>
      <c r="T254" s="127" t="s">
        <v>516</v>
      </c>
      <c r="U254" s="119" t="s">
        <v>351</v>
      </c>
      <c r="V254" s="128"/>
      <c r="W254" s="128"/>
      <c r="X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row>
    <row r="255" spans="1:69" ht="20.25" customHeight="1">
      <c r="A255" s="188">
        <f t="shared" si="18"/>
        <v>37</v>
      </c>
      <c r="B255" s="126" t="s">
        <v>338</v>
      </c>
      <c r="C255" s="126">
        <v>37</v>
      </c>
      <c r="D255" s="173">
        <v>2011</v>
      </c>
      <c r="G255" s="176">
        <v>24264419.1</v>
      </c>
      <c r="H255" s="122"/>
      <c r="I255" s="123">
        <f>AB160</f>
        <v>1.0065</v>
      </c>
      <c r="J255" s="19">
        <f t="shared" si="19"/>
        <v>24422137.82415</v>
      </c>
      <c r="K255" s="174">
        <v>40787</v>
      </c>
      <c r="L255" s="175"/>
      <c r="M255" s="174"/>
      <c r="N255" s="104" t="s">
        <v>101</v>
      </c>
      <c r="O255" s="126"/>
      <c r="P255" s="126" t="s">
        <v>344</v>
      </c>
      <c r="Q255" s="126" t="s">
        <v>345</v>
      </c>
      <c r="R255" s="174">
        <v>40843</v>
      </c>
      <c r="S255" s="104" t="s">
        <v>346</v>
      </c>
      <c r="T255" s="127" t="s">
        <v>507</v>
      </c>
      <c r="U255" s="119" t="s">
        <v>369</v>
      </c>
      <c r="V255" s="128"/>
      <c r="W255" s="128"/>
      <c r="X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row>
    <row r="256" spans="1:69" ht="20.25" customHeight="1">
      <c r="A256" s="188">
        <f t="shared" si="18"/>
        <v>38</v>
      </c>
      <c r="B256" s="126" t="s">
        <v>338</v>
      </c>
      <c r="C256" s="126">
        <v>38</v>
      </c>
      <c r="D256" s="173">
        <v>2011</v>
      </c>
      <c r="G256" s="184">
        <v>87295083.56</v>
      </c>
      <c r="H256" s="122"/>
      <c r="I256" s="123">
        <f>AB160</f>
        <v>1.0065</v>
      </c>
      <c r="J256" s="19">
        <f t="shared" si="19"/>
        <v>87862501.60314</v>
      </c>
      <c r="K256" s="174">
        <v>40788</v>
      </c>
      <c r="L256" s="175"/>
      <c r="M256" s="174"/>
      <c r="N256" s="104" t="s">
        <v>101</v>
      </c>
      <c r="O256" s="126"/>
      <c r="P256" s="126" t="s">
        <v>345</v>
      </c>
      <c r="Q256" s="126" t="s">
        <v>344</v>
      </c>
      <c r="R256" s="174">
        <v>40841</v>
      </c>
      <c r="S256" s="104" t="s">
        <v>346</v>
      </c>
      <c r="T256" s="126" t="s">
        <v>517</v>
      </c>
      <c r="U256" s="119" t="s">
        <v>351</v>
      </c>
      <c r="V256" s="128"/>
      <c r="W256" s="128"/>
      <c r="X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row>
    <row r="257" spans="1:69" ht="20.25" customHeight="1">
      <c r="A257" s="188">
        <f t="shared" si="18"/>
        <v>39</v>
      </c>
      <c r="B257" s="126" t="s">
        <v>338</v>
      </c>
      <c r="C257" s="126">
        <v>39</v>
      </c>
      <c r="D257" s="173">
        <v>2011</v>
      </c>
      <c r="G257" s="127" t="s">
        <v>455</v>
      </c>
      <c r="H257" s="122"/>
      <c r="I257" s="123">
        <f>AB160</f>
        <v>1.0065</v>
      </c>
      <c r="J257" s="19">
        <v>0</v>
      </c>
      <c r="K257" s="174">
        <v>40788</v>
      </c>
      <c r="L257" s="175"/>
      <c r="M257" s="174"/>
      <c r="N257" s="104" t="s">
        <v>101</v>
      </c>
      <c r="O257" s="126"/>
      <c r="P257" s="126" t="s">
        <v>344</v>
      </c>
      <c r="Q257" s="126" t="s">
        <v>345</v>
      </c>
      <c r="R257" s="174" t="s">
        <v>518</v>
      </c>
      <c r="S257" s="127" t="s">
        <v>501</v>
      </c>
      <c r="T257" s="126" t="s">
        <v>512</v>
      </c>
      <c r="U257" s="119" t="s">
        <v>369</v>
      </c>
      <c r="V257" s="128"/>
      <c r="W257" s="128"/>
      <c r="X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row>
    <row r="258" spans="1:69" ht="20.25" customHeight="1">
      <c r="A258" s="188">
        <f t="shared" si="18"/>
        <v>40</v>
      </c>
      <c r="B258" s="126" t="s">
        <v>338</v>
      </c>
      <c r="C258" s="126">
        <v>40</v>
      </c>
      <c r="D258" s="173">
        <v>2011</v>
      </c>
      <c r="G258" s="185">
        <v>1000000</v>
      </c>
      <c r="H258" s="122"/>
      <c r="I258" s="123">
        <f>AB160</f>
        <v>1.0065</v>
      </c>
      <c r="J258" s="19">
        <f t="shared" si="19"/>
        <v>1006500</v>
      </c>
      <c r="K258" s="174">
        <v>40792</v>
      </c>
      <c r="L258" s="175"/>
      <c r="M258" s="174"/>
      <c r="N258" s="104" t="s">
        <v>101</v>
      </c>
      <c r="O258" s="126"/>
      <c r="P258" s="126" t="s">
        <v>344</v>
      </c>
      <c r="Q258" s="126" t="s">
        <v>345</v>
      </c>
      <c r="R258" s="174">
        <v>40840</v>
      </c>
      <c r="S258" s="127" t="s">
        <v>501</v>
      </c>
      <c r="T258" s="127" t="s">
        <v>519</v>
      </c>
      <c r="U258" s="119" t="s">
        <v>353</v>
      </c>
      <c r="V258" s="128"/>
      <c r="W258" s="128"/>
      <c r="X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row>
    <row r="259" spans="1:69" ht="20.25" customHeight="1">
      <c r="A259" s="188">
        <f t="shared" si="18"/>
        <v>41</v>
      </c>
      <c r="B259" s="126" t="s">
        <v>338</v>
      </c>
      <c r="C259" s="126">
        <v>41</v>
      </c>
      <c r="D259" s="173">
        <v>2011</v>
      </c>
      <c r="G259" s="127" t="s">
        <v>100</v>
      </c>
      <c r="H259" s="122"/>
      <c r="I259" s="123">
        <f>AB160</f>
        <v>1.0065</v>
      </c>
      <c r="J259" s="19">
        <v>0</v>
      </c>
      <c r="K259" s="174">
        <v>40813</v>
      </c>
      <c r="L259" s="175"/>
      <c r="M259" s="174"/>
      <c r="N259" s="104" t="s">
        <v>101</v>
      </c>
      <c r="O259" s="126"/>
      <c r="P259" s="126" t="s">
        <v>345</v>
      </c>
      <c r="Q259" s="126" t="s">
        <v>344</v>
      </c>
      <c r="R259" s="174">
        <v>40845</v>
      </c>
      <c r="S259" s="104" t="s">
        <v>346</v>
      </c>
      <c r="T259" s="126" t="s">
        <v>520</v>
      </c>
      <c r="U259" s="119" t="s">
        <v>351</v>
      </c>
      <c r="V259" s="128"/>
      <c r="W259" s="128"/>
      <c r="X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row>
    <row r="260" spans="1:69" ht="20.25" customHeight="1">
      <c r="A260" s="188">
        <f aca="true" t="shared" si="20" ref="A260:A268">A259+1</f>
        <v>42</v>
      </c>
      <c r="B260" s="126" t="s">
        <v>338</v>
      </c>
      <c r="C260" s="126">
        <v>42</v>
      </c>
      <c r="D260" s="173">
        <v>2011</v>
      </c>
      <c r="G260" s="176">
        <v>3266000</v>
      </c>
      <c r="H260" s="122"/>
      <c r="I260" s="186">
        <f>AB161</f>
        <v>1</v>
      </c>
      <c r="J260" s="19">
        <f t="shared" si="19"/>
        <v>3266000</v>
      </c>
      <c r="K260" s="174">
        <v>40819</v>
      </c>
      <c r="L260" s="175"/>
      <c r="M260" s="174"/>
      <c r="N260" s="104" t="s">
        <v>101</v>
      </c>
      <c r="O260" s="126"/>
      <c r="P260" s="126" t="s">
        <v>344</v>
      </c>
      <c r="Q260" s="126" t="s">
        <v>345</v>
      </c>
      <c r="R260" s="174">
        <v>40849</v>
      </c>
      <c r="S260" s="127" t="s">
        <v>501</v>
      </c>
      <c r="T260" s="126" t="s">
        <v>521</v>
      </c>
      <c r="U260" s="119" t="s">
        <v>353</v>
      </c>
      <c r="V260" s="128"/>
      <c r="W260" s="128"/>
      <c r="X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row>
    <row r="261" spans="1:69" ht="20.25" customHeight="1">
      <c r="A261" s="188">
        <f t="shared" si="20"/>
        <v>43</v>
      </c>
      <c r="B261" s="126" t="s">
        <v>338</v>
      </c>
      <c r="C261" s="126">
        <v>43</v>
      </c>
      <c r="D261" s="173">
        <v>2011</v>
      </c>
      <c r="G261" s="176">
        <v>100752.64</v>
      </c>
      <c r="H261" s="122"/>
      <c r="I261" s="186">
        <f>AB161</f>
        <v>1</v>
      </c>
      <c r="J261" s="19">
        <f aca="true" t="shared" si="21" ref="J261:J268">I261*G261</f>
        <v>100752.64</v>
      </c>
      <c r="K261" s="174">
        <v>40822</v>
      </c>
      <c r="L261" s="175"/>
      <c r="M261" s="174"/>
      <c r="N261" s="104" t="s">
        <v>101</v>
      </c>
      <c r="O261" s="126"/>
      <c r="P261" s="126" t="s">
        <v>344</v>
      </c>
      <c r="Q261" s="126" t="s">
        <v>345</v>
      </c>
      <c r="R261" s="174">
        <v>40874</v>
      </c>
      <c r="S261" s="127" t="s">
        <v>501</v>
      </c>
      <c r="T261" s="126" t="s">
        <v>521</v>
      </c>
      <c r="U261" s="119" t="s">
        <v>353</v>
      </c>
      <c r="V261" s="128"/>
      <c r="W261" s="128"/>
      <c r="X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row>
    <row r="262" spans="1:69" ht="20.25" customHeight="1">
      <c r="A262" s="188">
        <f t="shared" si="20"/>
        <v>44</v>
      </c>
      <c r="B262" s="126" t="s">
        <v>338</v>
      </c>
      <c r="C262" s="126">
        <v>44</v>
      </c>
      <c r="D262" s="173">
        <v>2011</v>
      </c>
      <c r="G262" s="127" t="s">
        <v>100</v>
      </c>
      <c r="H262" s="122"/>
      <c r="I262" s="186">
        <f>I261</f>
        <v>1</v>
      </c>
      <c r="J262" s="19">
        <v>0</v>
      </c>
      <c r="K262" s="174">
        <v>40823</v>
      </c>
      <c r="L262" s="175"/>
      <c r="M262" s="174"/>
      <c r="N262" s="104" t="s">
        <v>101</v>
      </c>
      <c r="O262" s="126"/>
      <c r="P262" s="126" t="s">
        <v>345</v>
      </c>
      <c r="Q262" s="126" t="s">
        <v>344</v>
      </c>
      <c r="R262" s="174">
        <v>40840</v>
      </c>
      <c r="S262" s="127" t="s">
        <v>501</v>
      </c>
      <c r="T262" s="126" t="s">
        <v>521</v>
      </c>
      <c r="U262" s="119" t="s">
        <v>351</v>
      </c>
      <c r="V262" s="128"/>
      <c r="W262" s="128"/>
      <c r="X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row>
    <row r="263" spans="1:69" ht="20.25" customHeight="1">
      <c r="A263" s="188">
        <f t="shared" si="20"/>
        <v>45</v>
      </c>
      <c r="B263" s="126" t="s">
        <v>338</v>
      </c>
      <c r="C263" s="126">
        <v>45</v>
      </c>
      <c r="D263" s="173">
        <v>2011</v>
      </c>
      <c r="G263" s="176">
        <v>100000</v>
      </c>
      <c r="H263" s="122"/>
      <c r="I263" s="186">
        <f aca="true" t="shared" si="22" ref="I263:I268">I262</f>
        <v>1</v>
      </c>
      <c r="J263" s="19">
        <f t="shared" si="21"/>
        <v>100000</v>
      </c>
      <c r="K263" s="174">
        <v>40823</v>
      </c>
      <c r="L263" s="175"/>
      <c r="M263" s="174"/>
      <c r="N263" s="104" t="s">
        <v>101</v>
      </c>
      <c r="O263" s="126"/>
      <c r="P263" s="126" t="s">
        <v>522</v>
      </c>
      <c r="Q263" s="126" t="s">
        <v>345</v>
      </c>
      <c r="R263" s="174">
        <v>40844</v>
      </c>
      <c r="S263" s="127" t="s">
        <v>501</v>
      </c>
      <c r="T263" s="126" t="s">
        <v>523</v>
      </c>
      <c r="U263" s="127" t="s">
        <v>351</v>
      </c>
      <c r="V263" s="128"/>
      <c r="W263" s="128"/>
      <c r="X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row>
    <row r="264" spans="1:69" ht="20.25" customHeight="1">
      <c r="A264" s="188">
        <f t="shared" si="20"/>
        <v>46</v>
      </c>
      <c r="B264" s="126" t="s">
        <v>338</v>
      </c>
      <c r="C264" s="126">
        <v>46</v>
      </c>
      <c r="D264" s="173">
        <v>2011</v>
      </c>
      <c r="G264" s="176">
        <v>100000</v>
      </c>
      <c r="H264" s="122"/>
      <c r="I264" s="186">
        <f t="shared" si="22"/>
        <v>1</v>
      </c>
      <c r="J264" s="19">
        <f t="shared" si="21"/>
        <v>100000</v>
      </c>
      <c r="K264" s="174">
        <v>40826</v>
      </c>
      <c r="L264" s="175"/>
      <c r="M264" s="174"/>
      <c r="N264" s="104" t="s">
        <v>101</v>
      </c>
      <c r="O264" s="126"/>
      <c r="P264" s="126" t="s">
        <v>522</v>
      </c>
      <c r="Q264" s="126" t="s">
        <v>344</v>
      </c>
      <c r="R264" s="174">
        <v>40844</v>
      </c>
      <c r="S264" s="127" t="s">
        <v>501</v>
      </c>
      <c r="T264" s="126" t="s">
        <v>523</v>
      </c>
      <c r="U264" s="127" t="s">
        <v>351</v>
      </c>
      <c r="V264" s="128"/>
      <c r="W264" s="128"/>
      <c r="X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row>
    <row r="265" spans="1:69" ht="20.25" customHeight="1">
      <c r="A265" s="188">
        <f t="shared" si="20"/>
        <v>47</v>
      </c>
      <c r="B265" s="126" t="s">
        <v>338</v>
      </c>
      <c r="C265" s="126">
        <v>47</v>
      </c>
      <c r="D265" s="173">
        <v>2011</v>
      </c>
      <c r="G265" s="187">
        <v>4956481.35</v>
      </c>
      <c r="H265" s="122"/>
      <c r="I265" s="186">
        <f t="shared" si="22"/>
        <v>1</v>
      </c>
      <c r="J265" s="19">
        <f t="shared" si="21"/>
        <v>4956481.35</v>
      </c>
      <c r="K265" s="174">
        <v>40832</v>
      </c>
      <c r="L265" s="175"/>
      <c r="M265" s="174"/>
      <c r="N265" s="104" t="s">
        <v>101</v>
      </c>
      <c r="O265" s="126"/>
      <c r="P265" s="126" t="s">
        <v>344</v>
      </c>
      <c r="Q265" s="126" t="s">
        <v>345</v>
      </c>
      <c r="R265" s="174">
        <v>40850</v>
      </c>
      <c r="S265" s="127" t="s">
        <v>355</v>
      </c>
      <c r="T265" s="126" t="s">
        <v>521</v>
      </c>
      <c r="U265" s="119" t="s">
        <v>353</v>
      </c>
      <c r="V265" s="128"/>
      <c r="W265" s="128"/>
      <c r="X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row>
    <row r="266" spans="1:69" ht="20.25" customHeight="1">
      <c r="A266" s="188">
        <f t="shared" si="20"/>
        <v>48</v>
      </c>
      <c r="B266" s="126" t="s">
        <v>338</v>
      </c>
      <c r="C266" s="126">
        <v>48</v>
      </c>
      <c r="D266" s="173">
        <v>2011</v>
      </c>
      <c r="G266" s="176">
        <v>2000000</v>
      </c>
      <c r="H266" s="122"/>
      <c r="I266" s="186">
        <f t="shared" si="22"/>
        <v>1</v>
      </c>
      <c r="J266" s="19">
        <f t="shared" si="21"/>
        <v>2000000</v>
      </c>
      <c r="K266" s="174">
        <v>40830</v>
      </c>
      <c r="L266" s="175"/>
      <c r="M266" s="174"/>
      <c r="N266" s="104" t="s">
        <v>101</v>
      </c>
      <c r="O266" s="126"/>
      <c r="P266" s="126" t="s">
        <v>522</v>
      </c>
      <c r="Q266" s="126" t="s">
        <v>345</v>
      </c>
      <c r="R266" s="174">
        <v>40850</v>
      </c>
      <c r="S266" s="127" t="s">
        <v>355</v>
      </c>
      <c r="T266" s="126" t="s">
        <v>523</v>
      </c>
      <c r="U266" s="127" t="s">
        <v>351</v>
      </c>
      <c r="V266" s="128"/>
      <c r="W266" s="128"/>
      <c r="X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row>
    <row r="267" spans="1:69" ht="20.25" customHeight="1">
      <c r="A267" s="188">
        <f t="shared" si="20"/>
        <v>49</v>
      </c>
      <c r="B267" s="126" t="s">
        <v>335</v>
      </c>
      <c r="C267" s="126">
        <v>49</v>
      </c>
      <c r="D267" s="173">
        <v>2011</v>
      </c>
      <c r="G267" s="176">
        <v>13033224</v>
      </c>
      <c r="H267" s="122"/>
      <c r="I267" s="186">
        <f t="shared" si="22"/>
        <v>1</v>
      </c>
      <c r="J267" s="19">
        <f t="shared" si="21"/>
        <v>13033224</v>
      </c>
      <c r="K267" s="174">
        <v>40830</v>
      </c>
      <c r="L267" s="175"/>
      <c r="M267" s="174"/>
      <c r="N267" s="104" t="s">
        <v>101</v>
      </c>
      <c r="O267" s="126"/>
      <c r="P267" s="126" t="s">
        <v>345</v>
      </c>
      <c r="Q267" s="126" t="s">
        <v>344</v>
      </c>
      <c r="R267" s="174">
        <v>40850</v>
      </c>
      <c r="S267" s="127" t="s">
        <v>355</v>
      </c>
      <c r="T267" s="126" t="s">
        <v>521</v>
      </c>
      <c r="U267" s="119" t="s">
        <v>351</v>
      </c>
      <c r="V267" s="128"/>
      <c r="W267" s="128"/>
      <c r="X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row>
    <row r="268" spans="1:69" ht="20.25" customHeight="1">
      <c r="A268" s="188">
        <f t="shared" si="20"/>
        <v>50</v>
      </c>
      <c r="B268" s="126" t="s">
        <v>335</v>
      </c>
      <c r="C268" s="126">
        <v>50</v>
      </c>
      <c r="D268" s="173">
        <v>2011</v>
      </c>
      <c r="G268" s="176">
        <v>297882.8</v>
      </c>
      <c r="H268" s="122"/>
      <c r="I268" s="186">
        <f t="shared" si="22"/>
        <v>1</v>
      </c>
      <c r="J268" s="19">
        <f t="shared" si="21"/>
        <v>297882.8</v>
      </c>
      <c r="K268" s="174">
        <v>40835</v>
      </c>
      <c r="L268" s="175"/>
      <c r="M268" s="174"/>
      <c r="N268" s="104" t="s">
        <v>101</v>
      </c>
      <c r="O268" s="126"/>
      <c r="P268" s="126" t="s">
        <v>524</v>
      </c>
      <c r="Q268" s="126" t="s">
        <v>344</v>
      </c>
      <c r="R268" s="174">
        <v>40855</v>
      </c>
      <c r="S268" s="127" t="s">
        <v>355</v>
      </c>
      <c r="T268" s="126" t="s">
        <v>523</v>
      </c>
      <c r="U268" s="127" t="s">
        <v>351</v>
      </c>
      <c r="V268" s="128"/>
      <c r="W268" s="128"/>
      <c r="X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row>
  </sheetData>
  <sheetProtection/>
  <conditionalFormatting sqref="Y152:AB161 Z141:AB151 Y140:Y151 Z140:AA140 K237:L244 M238:M244 K245:M256 R259 K262:P262 R262 K263:U264 AG1:BQ268 K265:O265 I1:J1 K257:T258 K259:P259 N1:U251 U252:U262 K266:U268 V1:X268 N252:T256 K260:O261 Q260:R261 S259:T262 Q265:U265 Y1:AA1 Y4:AA139 BR1:IV65536 G245:H268 G208 F3 K142:K236 E1:E3 H1:H244 F1:G1 E11:F11 E13:F13 E15:F15 G3:G17 E20:F20 E22:F22 G19:G26 E32:F32 E35:F35 G29:G36 E40:F40 E42:F42 G39:G42 G44:G46 G48:G50 G53 G55:G56 G59 G61:G62 G64:G65 G68 G70:G72 G74 G77 E64:F64 E81:F81 G79:G82 G88 G84:G86 G91:G93 G96 G98:G104 E84:F84 G106:G110 G112 G115:G118 E124:F124 G120:G128 G130:G135 G138:G140 E139:F140 L1:M236 K1:K140 G212:G244 E142:F143 E182:F182 G142:G182 G184:G191 E190:F190 G193:G206 E221 A1:D268">
    <cfRule type="containsBlanks" priority="6" dxfId="0" stopIfTrue="1">
      <formula>LEN(TRIM(A1))=0</formula>
    </cfRule>
  </conditionalFormatting>
  <conditionalFormatting sqref="M108:M117 S198 R1:R265 Q266:Q268">
    <cfRule type="containsBlanks" priority="4" dxfId="0" stopIfTrue="1">
      <formula>LEN(TRIM(M1))=0</formula>
    </cfRule>
    <cfRule type="cellIs" priority="5" dxfId="2" operator="lessThan" stopIfTrue="1">
      <formula>$V$1</formula>
    </cfRule>
  </conditionalFormatting>
  <conditionalFormatting sqref="R155">
    <cfRule type="cellIs" priority="3" dxfId="1" operator="lessThan" stopIfTrue="1">
      <formula>$V$1</formula>
    </cfRule>
  </conditionalFormatting>
  <printOptions/>
  <pageMargins left="0.511811024" right="0.511811024" top="0.787401575" bottom="0.787401575" header="0.31496062" footer="0.31496062"/>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2:G45"/>
  <sheetViews>
    <sheetView zoomScalePageLayoutView="0" workbookViewId="0" topLeftCell="A16">
      <selection activeCell="G26" sqref="G26:G34"/>
    </sheetView>
  </sheetViews>
  <sheetFormatPr defaultColWidth="13.421875" defaultRowHeight="12.75"/>
  <cols>
    <col min="1" max="1" width="18.00390625" style="309" customWidth="1"/>
    <col min="2" max="2" width="19.57421875" style="309" customWidth="1"/>
    <col min="3" max="3" width="16.00390625" style="309" customWidth="1"/>
    <col min="4" max="4" width="20.00390625" style="309" customWidth="1"/>
    <col min="5" max="5" width="20.421875" style="309" customWidth="1"/>
    <col min="6" max="6" width="14.8515625" style="303" bestFit="1" customWidth="1"/>
    <col min="7" max="16384" width="13.421875" style="303" customWidth="1"/>
  </cols>
  <sheetData>
    <row r="2" spans="1:5" ht="12.75">
      <c r="A2" s="708" t="s">
        <v>566</v>
      </c>
      <c r="B2" s="709"/>
      <c r="C2" s="709"/>
      <c r="D2" s="709"/>
      <c r="E2" s="709"/>
    </row>
    <row r="3" spans="1:5" ht="12.75">
      <c r="A3" s="710" t="s">
        <v>567</v>
      </c>
      <c r="B3" s="710"/>
      <c r="C3" s="711" t="s">
        <v>568</v>
      </c>
      <c r="D3" s="713" t="s">
        <v>569</v>
      </c>
      <c r="E3" s="713" t="s">
        <v>570</v>
      </c>
    </row>
    <row r="4" spans="1:5" ht="39.75" customHeight="1">
      <c r="A4" s="304" t="s">
        <v>571</v>
      </c>
      <c r="B4" s="304" t="s">
        <v>572</v>
      </c>
      <c r="C4" s="712"/>
      <c r="D4" s="714"/>
      <c r="E4" s="715"/>
    </row>
    <row r="5" spans="1:7" ht="12.75">
      <c r="A5" s="305">
        <v>0</v>
      </c>
      <c r="B5" s="305">
        <v>200000</v>
      </c>
      <c r="C5" s="305">
        <v>5000</v>
      </c>
      <c r="D5" s="305"/>
      <c r="E5" s="305"/>
      <c r="G5" s="303">
        <f>IF($B$40&gt;=A5,IF($B$40&lt;=B5,C5+(($B$40-A5)*D5/100),""),"")</f>
      </c>
    </row>
    <row r="6" spans="1:7" ht="12.75">
      <c r="A6" s="305">
        <v>200001</v>
      </c>
      <c r="B6" s="305">
        <v>500000</v>
      </c>
      <c r="C6" s="305">
        <v>5000</v>
      </c>
      <c r="D6" s="305">
        <v>3.7</v>
      </c>
      <c r="E6" s="305">
        <f>C6+((B6-B5)*D6/100)</f>
        <v>16100</v>
      </c>
      <c r="G6" s="303">
        <f aca="true" t="shared" si="0" ref="G6:G20">IF($B$40&gt;=A6,IF($B$40&lt;=B6,C6+(($B$40-B5)*D6/100),""),"")</f>
      </c>
    </row>
    <row r="7" spans="1:7" ht="12.75">
      <c r="A7" s="305">
        <v>500001</v>
      </c>
      <c r="B7" s="305">
        <v>1000000</v>
      </c>
      <c r="C7" s="305">
        <v>16100</v>
      </c>
      <c r="D7" s="305">
        <v>2.5</v>
      </c>
      <c r="E7" s="305">
        <f aca="true" t="shared" si="1" ref="E7:E19">C7+((B7-B6)*D7/100)</f>
        <v>28600</v>
      </c>
      <c r="G7" s="303">
        <f t="shared" si="0"/>
      </c>
    </row>
    <row r="8" spans="1:7" ht="12.75">
      <c r="A8" s="305">
        <v>1000001</v>
      </c>
      <c r="B8" s="305">
        <v>1500000</v>
      </c>
      <c r="C8" s="305">
        <v>28600</v>
      </c>
      <c r="D8" s="305">
        <v>1.9</v>
      </c>
      <c r="E8" s="305">
        <f t="shared" si="1"/>
        <v>38100</v>
      </c>
      <c r="G8" s="303">
        <f t="shared" si="0"/>
      </c>
    </row>
    <row r="9" spans="1:7" ht="12.75">
      <c r="A9" s="305">
        <v>1500001</v>
      </c>
      <c r="B9" s="305">
        <v>2000000</v>
      </c>
      <c r="C9" s="305">
        <v>38100</v>
      </c>
      <c r="D9" s="305">
        <v>1.12</v>
      </c>
      <c r="E9" s="305">
        <f t="shared" si="1"/>
        <v>43700</v>
      </c>
      <c r="G9" s="303">
        <f t="shared" si="0"/>
      </c>
    </row>
    <row r="10" spans="1:7" ht="12.75">
      <c r="A10" s="305">
        <v>2000001</v>
      </c>
      <c r="B10" s="305">
        <v>5000000</v>
      </c>
      <c r="C10" s="305">
        <v>43700</v>
      </c>
      <c r="D10" s="305">
        <v>0.65</v>
      </c>
      <c r="E10" s="305">
        <f t="shared" si="1"/>
        <v>63200</v>
      </c>
      <c r="G10" s="303">
        <f t="shared" si="0"/>
      </c>
    </row>
    <row r="11" spans="1:7" ht="12.75">
      <c r="A11" s="305">
        <v>5000001</v>
      </c>
      <c r="B11" s="305">
        <v>10000000</v>
      </c>
      <c r="C11" s="305">
        <v>63200</v>
      </c>
      <c r="D11" s="305">
        <v>0.6</v>
      </c>
      <c r="E11" s="305">
        <f t="shared" si="1"/>
        <v>93200</v>
      </c>
      <c r="G11" s="303">
        <f t="shared" si="0"/>
      </c>
    </row>
    <row r="12" spans="1:7" ht="12.75">
      <c r="A12" s="305">
        <v>10000001</v>
      </c>
      <c r="B12" s="305">
        <v>15000000</v>
      </c>
      <c r="C12" s="305">
        <v>93200</v>
      </c>
      <c r="D12" s="305">
        <v>0.5</v>
      </c>
      <c r="E12" s="305">
        <f t="shared" si="1"/>
        <v>118200</v>
      </c>
      <c r="G12" s="303">
        <f t="shared" si="0"/>
      </c>
    </row>
    <row r="13" spans="1:7" ht="12.75">
      <c r="A13" s="305">
        <v>15000001</v>
      </c>
      <c r="B13" s="305">
        <v>20000000</v>
      </c>
      <c r="C13" s="305">
        <v>118200</v>
      </c>
      <c r="D13" s="305">
        <v>0.3</v>
      </c>
      <c r="E13" s="305">
        <f t="shared" si="1"/>
        <v>133200</v>
      </c>
      <c r="G13" s="303">
        <f t="shared" si="0"/>
      </c>
    </row>
    <row r="14" spans="1:7" ht="12.75">
      <c r="A14" s="305">
        <v>20000001</v>
      </c>
      <c r="B14" s="305">
        <v>30000000</v>
      </c>
      <c r="C14" s="305">
        <v>133200</v>
      </c>
      <c r="D14" s="305">
        <v>0.15</v>
      </c>
      <c r="E14" s="305">
        <f t="shared" si="1"/>
        <v>148200</v>
      </c>
      <c r="G14" s="303">
        <f>IF($B$40&gt;=B13,IF($B$40&lt;=B14,C14+(($B$40-B13)*D14/100),""),"")</f>
        <v>140700</v>
      </c>
    </row>
    <row r="15" spans="1:7" ht="12.75">
      <c r="A15" s="305">
        <v>30000001</v>
      </c>
      <c r="B15" s="305">
        <v>40000000</v>
      </c>
      <c r="C15" s="305">
        <v>148200</v>
      </c>
      <c r="D15" s="305">
        <v>0.1</v>
      </c>
      <c r="E15" s="305">
        <f t="shared" si="1"/>
        <v>158200</v>
      </c>
      <c r="G15" s="303">
        <f t="shared" si="0"/>
      </c>
    </row>
    <row r="16" spans="1:7" ht="12.75">
      <c r="A16" s="305">
        <v>40000001</v>
      </c>
      <c r="B16" s="305">
        <v>50000000</v>
      </c>
      <c r="C16" s="305">
        <v>158200</v>
      </c>
      <c r="D16" s="305">
        <v>0.07</v>
      </c>
      <c r="E16" s="305">
        <f t="shared" si="1"/>
        <v>165200</v>
      </c>
      <c r="G16" s="303">
        <f>IF($B$40&gt;=A16,IF($B$40&lt;=B16,C16+(($B$40-B15)*D16/100),""),"")</f>
      </c>
    </row>
    <row r="17" spans="1:7" ht="12.75">
      <c r="A17" s="305">
        <v>50000001</v>
      </c>
      <c r="B17" s="305">
        <v>100000000</v>
      </c>
      <c r="C17" s="305">
        <v>165200</v>
      </c>
      <c r="D17" s="305">
        <v>0.05</v>
      </c>
      <c r="E17" s="305">
        <f t="shared" si="1"/>
        <v>190200</v>
      </c>
      <c r="G17" s="303">
        <f t="shared" si="0"/>
      </c>
    </row>
    <row r="18" spans="1:7" ht="12.75">
      <c r="A18" s="305">
        <v>100000001</v>
      </c>
      <c r="B18" s="305">
        <v>200000000</v>
      </c>
      <c r="C18" s="305">
        <v>190200</v>
      </c>
      <c r="D18" s="305">
        <v>0.04</v>
      </c>
      <c r="E18" s="305">
        <f t="shared" si="1"/>
        <v>230200</v>
      </c>
      <c r="G18" s="303">
        <f t="shared" si="0"/>
      </c>
    </row>
    <row r="19" spans="1:7" ht="12.75">
      <c r="A19" s="305">
        <v>200000001</v>
      </c>
      <c r="B19" s="305">
        <v>500000000</v>
      </c>
      <c r="C19" s="305">
        <v>230200</v>
      </c>
      <c r="D19" s="305">
        <v>0.02</v>
      </c>
      <c r="E19" s="305">
        <f t="shared" si="1"/>
        <v>290200</v>
      </c>
      <c r="G19" s="303">
        <f t="shared" si="0"/>
      </c>
    </row>
    <row r="20" spans="1:7" ht="17.25" customHeight="1">
      <c r="A20" s="305">
        <v>500000001</v>
      </c>
      <c r="B20" s="305" t="s">
        <v>573</v>
      </c>
      <c r="C20" s="305">
        <v>350000</v>
      </c>
      <c r="D20" s="305">
        <v>0.01</v>
      </c>
      <c r="E20" s="306" t="s">
        <v>574</v>
      </c>
      <c r="G20" s="303">
        <f t="shared" si="0"/>
      </c>
    </row>
    <row r="21" spans="1:5" ht="18" customHeight="1">
      <c r="A21" s="307"/>
      <c r="B21" s="307"/>
      <c r="C21" s="307"/>
      <c r="D21" s="307"/>
      <c r="E21" s="308"/>
    </row>
    <row r="23" spans="1:5" ht="12.75">
      <c r="A23" s="708" t="s">
        <v>575</v>
      </c>
      <c r="B23" s="709"/>
      <c r="C23" s="709"/>
      <c r="D23" s="709"/>
      <c r="E23" s="709"/>
    </row>
    <row r="24" spans="1:5" ht="12.75">
      <c r="A24" s="710" t="s">
        <v>567</v>
      </c>
      <c r="B24" s="710"/>
      <c r="C24" s="711" t="s">
        <v>568</v>
      </c>
      <c r="D24" s="713" t="s">
        <v>569</v>
      </c>
      <c r="E24" s="713" t="s">
        <v>570</v>
      </c>
    </row>
    <row r="25" spans="1:5" ht="39" customHeight="1">
      <c r="A25" s="304" t="s">
        <v>571</v>
      </c>
      <c r="B25" s="304" t="s">
        <v>572</v>
      </c>
      <c r="C25" s="712"/>
      <c r="D25" s="714"/>
      <c r="E25" s="715"/>
    </row>
    <row r="26" spans="1:7" ht="12.75">
      <c r="A26" s="305">
        <v>0</v>
      </c>
      <c r="B26" s="305">
        <v>200000</v>
      </c>
      <c r="C26" s="305">
        <v>4500</v>
      </c>
      <c r="D26" s="305"/>
      <c r="E26" s="305"/>
      <c r="G26" s="303">
        <f>IF($B$40&gt;=A26,IF($B$40&lt;=B26,C26+(($B$40-A26)*D26/100),""),"")</f>
      </c>
    </row>
    <row r="27" spans="1:7" ht="12.75">
      <c r="A27" s="305">
        <v>200001</v>
      </c>
      <c r="B27" s="305">
        <v>1000000</v>
      </c>
      <c r="C27" s="305">
        <v>4500</v>
      </c>
      <c r="D27" s="305">
        <v>1.1</v>
      </c>
      <c r="E27" s="305">
        <f>C27+((B27-B26)*D27/100)</f>
        <v>13300.000000000002</v>
      </c>
      <c r="G27" s="303">
        <f aca="true" t="shared" si="2" ref="G27:G34">IF($B$40&gt;=A27,IF($B$40&lt;=B27,C27+(($B$40-B26)*D27/100),""),"")</f>
      </c>
    </row>
    <row r="28" spans="1:7" ht="12.75">
      <c r="A28" s="305">
        <v>1000001</v>
      </c>
      <c r="B28" s="305">
        <v>5000000</v>
      </c>
      <c r="C28" s="305">
        <v>13300</v>
      </c>
      <c r="D28" s="305">
        <v>0.65</v>
      </c>
      <c r="E28" s="305">
        <f aca="true" t="shared" si="3" ref="E28:E33">C28+((B28-B27)*D28/100)</f>
        <v>39300</v>
      </c>
      <c r="G28" s="303">
        <f t="shared" si="2"/>
      </c>
    </row>
    <row r="29" spans="1:7" ht="12.75">
      <c r="A29" s="305">
        <v>5000001</v>
      </c>
      <c r="B29" s="305">
        <v>10000000</v>
      </c>
      <c r="C29" s="305">
        <v>39300</v>
      </c>
      <c r="D29" s="305">
        <v>0.27</v>
      </c>
      <c r="E29" s="305">
        <f t="shared" si="3"/>
        <v>52800</v>
      </c>
      <c r="G29" s="303">
        <f t="shared" si="2"/>
      </c>
    </row>
    <row r="30" spans="1:7" ht="12.75">
      <c r="A30" s="305">
        <v>10000001</v>
      </c>
      <c r="B30" s="305">
        <v>15000000</v>
      </c>
      <c r="C30" s="305">
        <v>52800</v>
      </c>
      <c r="D30" s="305">
        <v>0.12</v>
      </c>
      <c r="E30" s="305">
        <f t="shared" si="3"/>
        <v>58800</v>
      </c>
      <c r="G30" s="303">
        <f t="shared" si="2"/>
      </c>
    </row>
    <row r="31" spans="1:7" ht="12.75">
      <c r="A31" s="305">
        <v>15000001</v>
      </c>
      <c r="B31" s="305">
        <v>20000000</v>
      </c>
      <c r="C31" s="305">
        <v>58800</v>
      </c>
      <c r="D31" s="305">
        <v>0.09</v>
      </c>
      <c r="E31" s="305">
        <f t="shared" si="3"/>
        <v>63300</v>
      </c>
      <c r="G31" s="303">
        <f t="shared" si="2"/>
      </c>
    </row>
    <row r="32" spans="1:7" ht="12.75">
      <c r="A32" s="305">
        <v>20000001</v>
      </c>
      <c r="B32" s="305">
        <v>50000000</v>
      </c>
      <c r="C32" s="305">
        <v>63300</v>
      </c>
      <c r="D32" s="305">
        <v>0.07</v>
      </c>
      <c r="E32" s="305">
        <f t="shared" si="3"/>
        <v>84300</v>
      </c>
      <c r="G32" s="303">
        <f t="shared" si="2"/>
        <v>66800</v>
      </c>
    </row>
    <row r="33" spans="1:7" ht="12.75">
      <c r="A33" s="305">
        <v>50000001</v>
      </c>
      <c r="B33" s="305">
        <v>100000000</v>
      </c>
      <c r="C33" s="305">
        <v>84300</v>
      </c>
      <c r="D33" s="305">
        <v>0.04</v>
      </c>
      <c r="E33" s="305">
        <f t="shared" si="3"/>
        <v>104300</v>
      </c>
      <c r="G33" s="303">
        <f t="shared" si="2"/>
      </c>
    </row>
    <row r="34" spans="1:7" ht="25.5">
      <c r="A34" s="305">
        <v>100000001</v>
      </c>
      <c r="B34" s="305" t="s">
        <v>576</v>
      </c>
      <c r="C34" s="305">
        <v>104300</v>
      </c>
      <c r="D34" s="305">
        <v>0.02</v>
      </c>
      <c r="E34" s="306" t="s">
        <v>577</v>
      </c>
      <c r="G34" s="303">
        <f t="shared" si="2"/>
      </c>
    </row>
    <row r="38" spans="1:5" ht="12.75">
      <c r="A38" s="708" t="s">
        <v>578</v>
      </c>
      <c r="B38" s="708"/>
      <c r="C38" s="708"/>
      <c r="D38" s="708"/>
      <c r="E38" s="708"/>
    </row>
    <row r="39" spans="1:5" ht="12.75">
      <c r="A39" s="302"/>
      <c r="B39" s="302"/>
      <c r="C39" s="302"/>
      <c r="D39" s="302"/>
      <c r="E39" s="302"/>
    </row>
    <row r="40" spans="1:5" ht="12.75">
      <c r="A40" s="305" t="s">
        <v>579</v>
      </c>
      <c r="B40" s="310">
        <v>25000000</v>
      </c>
      <c r="C40" s="305">
        <v>1.75</v>
      </c>
      <c r="D40" s="305"/>
      <c r="E40" s="305"/>
    </row>
    <row r="41" spans="1:5" ht="12.75">
      <c r="A41" s="305"/>
      <c r="B41" s="305"/>
      <c r="C41" s="305"/>
      <c r="D41" s="305"/>
      <c r="E41" s="305"/>
    </row>
    <row r="42" spans="1:5" ht="12.75">
      <c r="A42" s="311" t="s">
        <v>580</v>
      </c>
      <c r="B42" s="311" t="s">
        <v>581</v>
      </c>
      <c r="C42" s="311" t="s">
        <v>582</v>
      </c>
      <c r="D42" s="311" t="s">
        <v>583</v>
      </c>
      <c r="E42" s="311" t="s">
        <v>584</v>
      </c>
    </row>
    <row r="43" spans="1:5" ht="12.75">
      <c r="A43" s="305"/>
      <c r="B43" s="305"/>
      <c r="C43" s="305"/>
      <c r="D43" s="305"/>
      <c r="E43" s="305"/>
    </row>
    <row r="44" spans="1:5" ht="12.75">
      <c r="A44" s="305">
        <f>SUM(G26:G34)</f>
        <v>66800</v>
      </c>
      <c r="B44" s="305">
        <f>C44*1.3</f>
        <v>182910</v>
      </c>
      <c r="C44" s="305">
        <f>SUM(G5:G20)</f>
        <v>140700</v>
      </c>
      <c r="D44" s="305">
        <f>C44*1.15</f>
        <v>161805</v>
      </c>
      <c r="E44" s="305">
        <f>(2*C44)+D44</f>
        <v>443205</v>
      </c>
    </row>
    <row r="45" spans="1:6" ht="15">
      <c r="A45" s="312">
        <f>A44/C40</f>
        <v>38171.42857142857</v>
      </c>
      <c r="B45" s="313">
        <f>B44/C40</f>
        <v>104520</v>
      </c>
      <c r="C45" s="313">
        <f>C44/C40</f>
        <v>80400</v>
      </c>
      <c r="D45" s="313">
        <f>D44/C40</f>
        <v>92460</v>
      </c>
      <c r="E45" s="313">
        <f>E44/C40</f>
        <v>253260</v>
      </c>
      <c r="F45" s="313">
        <f>E45+A45</f>
        <v>291431.4285714286</v>
      </c>
    </row>
  </sheetData>
  <sheetProtection/>
  <mergeCells count="11">
    <mergeCell ref="A2:E2"/>
    <mergeCell ref="A3:B3"/>
    <mergeCell ref="C3:C4"/>
    <mergeCell ref="D3:D4"/>
    <mergeCell ref="E3:E4"/>
    <mergeCell ref="A23:E23"/>
    <mergeCell ref="A24:B24"/>
    <mergeCell ref="C24:C25"/>
    <mergeCell ref="D24:D25"/>
    <mergeCell ref="E24:E25"/>
    <mergeCell ref="A38:E38"/>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sheetPr>
    <tabColor theme="0" tint="-0.4999699890613556"/>
  </sheetPr>
  <dimension ref="B3:H17"/>
  <sheetViews>
    <sheetView showGridLines="0" showRowColHeaders="0" tabSelected="1" zoomScalePageLayoutView="0" workbookViewId="0" topLeftCell="A1">
      <selection activeCell="D10" sqref="D10"/>
    </sheetView>
  </sheetViews>
  <sheetFormatPr defaultColWidth="9.140625" defaultRowHeight="12.75"/>
  <cols>
    <col min="1" max="1" width="11.421875" style="603" customWidth="1"/>
    <col min="2" max="2" width="10.57421875" style="603" customWidth="1"/>
    <col min="3" max="3" width="3.28125" style="603" customWidth="1"/>
    <col min="4" max="4" width="14.140625" style="603" customWidth="1"/>
    <col min="5" max="5" width="17.140625" style="603" customWidth="1"/>
    <col min="6" max="6" width="14.140625" style="603" customWidth="1"/>
    <col min="7" max="7" width="17.00390625" style="603" customWidth="1"/>
    <col min="8" max="8" width="14.140625" style="603" customWidth="1"/>
    <col min="9" max="16384" width="9.140625" style="603" customWidth="1"/>
  </cols>
  <sheetData>
    <row r="1" ht="30" customHeight="1"/>
    <row r="2" ht="30" customHeight="1" thickBot="1"/>
    <row r="3" spans="2:8" ht="23.25" customHeight="1">
      <c r="B3" s="719" t="s">
        <v>652</v>
      </c>
      <c r="C3" s="720"/>
      <c r="D3" s="720"/>
      <c r="E3" s="720"/>
      <c r="F3" s="720"/>
      <c r="G3" s="720"/>
      <c r="H3" s="721"/>
    </row>
    <row r="4" spans="2:8" ht="20.25" customHeight="1">
      <c r="B4" s="722"/>
      <c r="C4" s="723"/>
      <c r="D4" s="723"/>
      <c r="E4" s="723"/>
      <c r="F4" s="723"/>
      <c r="G4" s="723"/>
      <c r="H4" s="724"/>
    </row>
    <row r="5" spans="2:8" ht="20.25" customHeight="1">
      <c r="B5" s="604"/>
      <c r="C5" s="605"/>
      <c r="D5" s="605"/>
      <c r="E5" s="605"/>
      <c r="F5" s="605"/>
      <c r="G5" s="605"/>
      <c r="H5" s="606"/>
    </row>
    <row r="6" spans="2:8" ht="32.25" customHeight="1">
      <c r="B6" s="716" t="s">
        <v>658</v>
      </c>
      <c r="C6" s="717"/>
      <c r="D6" s="717"/>
      <c r="E6" s="717"/>
      <c r="F6" s="717"/>
      <c r="G6" s="717"/>
      <c r="H6" s="718"/>
    </row>
    <row r="7" spans="2:8" ht="29.25" customHeight="1">
      <c r="B7" s="607"/>
      <c r="C7" s="608"/>
      <c r="D7" s="608"/>
      <c r="E7" s="608"/>
      <c r="F7" s="608"/>
      <c r="G7" s="608"/>
      <c r="H7" s="609"/>
    </row>
    <row r="8" spans="2:8" ht="18" customHeight="1">
      <c r="B8" s="607"/>
      <c r="C8" s="608"/>
      <c r="D8" s="608" t="s">
        <v>636</v>
      </c>
      <c r="E8" s="608"/>
      <c r="F8" s="608"/>
      <c r="G8" s="608"/>
      <c r="H8" s="609"/>
    </row>
    <row r="9" spans="2:8" ht="30.75" customHeight="1">
      <c r="B9" s="607"/>
      <c r="C9" s="608"/>
      <c r="D9" s="608"/>
      <c r="E9" s="608"/>
      <c r="F9" s="608"/>
      <c r="G9" s="608"/>
      <c r="H9" s="609"/>
    </row>
    <row r="10" spans="2:8" ht="20.25" customHeight="1">
      <c r="B10" s="607"/>
      <c r="C10" s="608"/>
      <c r="D10" s="608" t="s">
        <v>653</v>
      </c>
      <c r="E10" s="608"/>
      <c r="F10" s="608"/>
      <c r="G10" s="608"/>
      <c r="H10" s="609"/>
    </row>
    <row r="11" spans="2:8" ht="20.25" customHeight="1">
      <c r="B11" s="607"/>
      <c r="C11" s="608"/>
      <c r="D11" s="608"/>
      <c r="E11" s="610" t="s">
        <v>656</v>
      </c>
      <c r="F11" s="608"/>
      <c r="G11" s="608"/>
      <c r="H11" s="609"/>
    </row>
    <row r="12" spans="2:8" ht="20.25" customHeight="1">
      <c r="B12" s="607"/>
      <c r="C12" s="608"/>
      <c r="D12" s="608"/>
      <c r="E12" s="608"/>
      <c r="F12" s="608"/>
      <c r="G12" s="608"/>
      <c r="H12" s="609"/>
    </row>
    <row r="13" spans="2:8" ht="20.25" customHeight="1">
      <c r="B13" s="607"/>
      <c r="C13" s="608"/>
      <c r="D13" s="608" t="s">
        <v>654</v>
      </c>
      <c r="E13" s="608"/>
      <c r="F13" s="608"/>
      <c r="G13" s="608"/>
      <c r="H13" s="609"/>
    </row>
    <row r="14" spans="2:8" ht="20.25" customHeight="1">
      <c r="B14" s="607"/>
      <c r="C14" s="608"/>
      <c r="D14" s="608"/>
      <c r="E14" s="610" t="s">
        <v>657</v>
      </c>
      <c r="F14" s="608"/>
      <c r="G14" s="608"/>
      <c r="H14" s="609"/>
    </row>
    <row r="15" spans="2:8" ht="20.25" customHeight="1">
      <c r="B15" s="607"/>
      <c r="C15" s="608"/>
      <c r="D15" s="608"/>
      <c r="E15" s="608"/>
      <c r="F15" s="608"/>
      <c r="G15" s="608"/>
      <c r="H15" s="609"/>
    </row>
    <row r="16" spans="2:8" ht="20.25" customHeight="1">
      <c r="B16" s="607"/>
      <c r="C16" s="608"/>
      <c r="D16" s="608" t="s">
        <v>655</v>
      </c>
      <c r="E16" s="608"/>
      <c r="F16" s="608"/>
      <c r="G16" s="608"/>
      <c r="H16" s="609"/>
    </row>
    <row r="17" spans="2:8" ht="18.75" thickBot="1">
      <c r="B17" s="611"/>
      <c r="C17" s="612"/>
      <c r="D17" s="612"/>
      <c r="E17" s="612"/>
      <c r="F17" s="612"/>
      <c r="G17" s="612"/>
      <c r="H17" s="613"/>
    </row>
  </sheetData>
  <sheetProtection password="D1C9" sheet="1" objects="1" scenarios="1"/>
  <mergeCells count="2">
    <mergeCell ref="B6:H6"/>
    <mergeCell ref="B3:H4"/>
  </mergeCells>
  <printOptions/>
  <pageMargins left="0.511811024" right="0.511811024" top="0.787401575" bottom="0.787401575" header="0.31496062" footer="0.31496062"/>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7" tint="-0.4999699890613556"/>
  </sheetPr>
  <dimension ref="B2:G37"/>
  <sheetViews>
    <sheetView showGridLines="0" showRowColHeaders="0" zoomScalePageLayoutView="0" workbookViewId="0" topLeftCell="A1">
      <selection activeCell="E7" sqref="E7"/>
    </sheetView>
  </sheetViews>
  <sheetFormatPr defaultColWidth="9.140625" defaultRowHeight="12.75"/>
  <cols>
    <col min="1" max="1" width="11.421875" style="574" customWidth="1"/>
    <col min="2" max="2" width="24.421875" style="574" customWidth="1"/>
    <col min="3" max="3" width="28.57421875" style="574" customWidth="1"/>
    <col min="4" max="4" width="28.00390625" style="574" customWidth="1"/>
    <col min="5" max="5" width="28.57421875" style="574" customWidth="1"/>
    <col min="6" max="6" width="25.28125" style="574" customWidth="1"/>
    <col min="7" max="16384" width="9.140625" style="574" customWidth="1"/>
  </cols>
  <sheetData>
    <row r="1" ht="60" customHeight="1" thickBot="1"/>
    <row r="2" spans="2:6" ht="45.75" customHeight="1" thickBot="1">
      <c r="B2" s="725" t="s">
        <v>634</v>
      </c>
      <c r="C2" s="726"/>
      <c r="D2" s="726"/>
      <c r="E2" s="727"/>
      <c r="F2" s="575"/>
    </row>
    <row r="3" spans="2:6" ht="24.75" customHeight="1" thickBot="1">
      <c r="B3" s="728" t="s">
        <v>626</v>
      </c>
      <c r="C3" s="731">
        <v>0</v>
      </c>
      <c r="D3" s="735" t="s">
        <v>615</v>
      </c>
      <c r="E3" s="736"/>
      <c r="F3" s="576"/>
    </row>
    <row r="4" spans="2:6" ht="24.75" customHeight="1">
      <c r="B4" s="729"/>
      <c r="C4" s="732"/>
      <c r="D4" s="583" t="s">
        <v>616</v>
      </c>
      <c r="E4" s="590">
        <f>IF($C$3&gt;0,250,0)</f>
        <v>0</v>
      </c>
      <c r="F4" s="577"/>
    </row>
    <row r="5" spans="2:6" ht="24.75" customHeight="1">
      <c r="B5" s="729"/>
      <c r="C5" s="732"/>
      <c r="D5" s="584" t="s">
        <v>617</v>
      </c>
      <c r="E5" s="591">
        <f>SUM(E13:E15)</f>
        <v>0</v>
      </c>
      <c r="F5" s="578"/>
    </row>
    <row r="6" spans="2:6" ht="24.75" customHeight="1" thickBot="1">
      <c r="B6" s="730"/>
      <c r="C6" s="733"/>
      <c r="D6" s="585" t="s">
        <v>665</v>
      </c>
      <c r="E6" s="592">
        <f>SUM(E21:E22)</f>
        <v>0</v>
      </c>
      <c r="F6" s="578"/>
    </row>
    <row r="7" spans="2:7" ht="49.5" customHeight="1" thickBot="1">
      <c r="B7" s="582" t="s">
        <v>664</v>
      </c>
      <c r="C7" s="601">
        <v>0</v>
      </c>
      <c r="D7" s="586" t="s">
        <v>618</v>
      </c>
      <c r="E7" s="596">
        <f>SUM(E4:E6)</f>
        <v>0</v>
      </c>
      <c r="F7" s="579"/>
      <c r="G7" s="574">
        <f>IF($C$3&gt;B14,IF($C$3&lt;=B16,C16,""),"")</f>
      </c>
    </row>
    <row r="8" ht="30" customHeight="1"/>
    <row r="9" ht="30" customHeight="1">
      <c r="E9" s="614" t="s">
        <v>660</v>
      </c>
    </row>
    <row r="10" spans="2:5" ht="15">
      <c r="B10" s="578"/>
      <c r="C10" s="578"/>
      <c r="E10" s="580"/>
    </row>
    <row r="11" spans="2:6" ht="399" customHeight="1">
      <c r="B11" s="633"/>
      <c r="C11" s="633"/>
      <c r="D11" s="634"/>
      <c r="E11" s="634"/>
      <c r="F11" s="580"/>
    </row>
    <row r="12" spans="2:6" ht="15">
      <c r="B12" s="734" t="s">
        <v>619</v>
      </c>
      <c r="C12" s="734"/>
      <c r="D12" s="634"/>
      <c r="E12" s="635" t="s">
        <v>624</v>
      </c>
      <c r="F12" s="581"/>
    </row>
    <row r="13" spans="2:6" ht="30">
      <c r="B13" s="636" t="s">
        <v>620</v>
      </c>
      <c r="C13" s="637" t="s">
        <v>635</v>
      </c>
      <c r="D13" s="634"/>
      <c r="E13" s="634">
        <f>IF($C$14&lt;C16,IF($C$14&gt;C15,C14,""),"")</f>
      </c>
      <c r="F13" s="580"/>
    </row>
    <row r="14" spans="2:6" ht="15">
      <c r="B14" s="633">
        <f>C3</f>
        <v>0</v>
      </c>
      <c r="C14" s="633">
        <f>B14*0.01</f>
        <v>0</v>
      </c>
      <c r="D14" s="634"/>
      <c r="E14" s="634">
        <f>IF($C$3&gt;0,IF($C$14&lt;C15,C15,""),"")</f>
      </c>
      <c r="F14" s="580"/>
    </row>
    <row r="15" spans="2:6" ht="15">
      <c r="B15" s="638" t="s">
        <v>571</v>
      </c>
      <c r="C15" s="633">
        <v>500</v>
      </c>
      <c r="D15" s="634"/>
      <c r="E15" s="634">
        <f>IF($C$14&gt;C16,C16,"")</f>
      </c>
      <c r="F15" s="580"/>
    </row>
    <row r="16" spans="2:6" ht="15">
      <c r="B16" s="638" t="s">
        <v>630</v>
      </c>
      <c r="C16" s="633">
        <v>20000</v>
      </c>
      <c r="D16" s="634"/>
      <c r="E16" s="634"/>
      <c r="F16" s="580"/>
    </row>
    <row r="17" spans="2:6" ht="15">
      <c r="B17" s="633"/>
      <c r="C17" s="633"/>
      <c r="D17" s="634"/>
      <c r="E17" s="634"/>
      <c r="F17" s="580"/>
    </row>
    <row r="18" spans="2:6" ht="15.75" customHeight="1">
      <c r="B18" s="634"/>
      <c r="C18" s="634"/>
      <c r="D18" s="634"/>
      <c r="E18" s="634"/>
      <c r="F18" s="580"/>
    </row>
    <row r="19" spans="2:6" ht="15">
      <c r="B19" s="734" t="s">
        <v>622</v>
      </c>
      <c r="C19" s="734"/>
      <c r="D19" s="634"/>
      <c r="E19" s="634"/>
      <c r="F19" s="580"/>
    </row>
    <row r="20" spans="2:6" ht="15">
      <c r="B20" s="635" t="s">
        <v>631</v>
      </c>
      <c r="C20" s="635" t="s">
        <v>623</v>
      </c>
      <c r="D20" s="634"/>
      <c r="E20" s="634" t="s">
        <v>645</v>
      </c>
      <c r="F20" s="580"/>
    </row>
    <row r="21" spans="2:6" ht="30">
      <c r="B21" s="639" t="s">
        <v>639</v>
      </c>
      <c r="C21" s="633">
        <v>600</v>
      </c>
      <c r="D21" s="634"/>
      <c r="E21" s="634">
        <f>IF($C$3&gt;0,IF($C$7&lt;=5,C22,""),"")</f>
      </c>
      <c r="F21" s="580"/>
    </row>
    <row r="22" spans="2:6" ht="15">
      <c r="B22" s="633" t="s">
        <v>647</v>
      </c>
      <c r="C22" s="633">
        <v>3000</v>
      </c>
      <c r="D22" s="634"/>
      <c r="E22" s="634">
        <f>IF($C$3&gt;0,IF($C$7&gt;5,C7*C21,""),"")</f>
      </c>
      <c r="F22" s="580"/>
    </row>
    <row r="23" spans="2:6" ht="15">
      <c r="B23" s="633"/>
      <c r="C23" s="633"/>
      <c r="D23" s="634"/>
      <c r="E23" s="634"/>
      <c r="F23" s="580"/>
    </row>
    <row r="24" spans="2:6" ht="15">
      <c r="B24" s="633"/>
      <c r="C24" s="633"/>
      <c r="D24" s="634"/>
      <c r="E24" s="634"/>
      <c r="F24" s="580"/>
    </row>
    <row r="25" spans="2:5" ht="15">
      <c r="B25" s="633"/>
      <c r="C25" s="633"/>
      <c r="D25" s="640"/>
      <c r="E25" s="640"/>
    </row>
    <row r="26" spans="2:5" ht="15">
      <c r="B26" s="633"/>
      <c r="C26" s="633"/>
      <c r="D26" s="640"/>
      <c r="E26" s="640"/>
    </row>
    <row r="27" spans="2:5" ht="15">
      <c r="B27" s="640"/>
      <c r="C27" s="640"/>
      <c r="D27" s="640"/>
      <c r="E27" s="640"/>
    </row>
    <row r="28" spans="2:5" ht="15">
      <c r="B28" s="640"/>
      <c r="C28" s="640"/>
      <c r="D28" s="640"/>
      <c r="E28" s="640"/>
    </row>
    <row r="29" spans="2:5" ht="15">
      <c r="B29" s="640"/>
      <c r="C29" s="640"/>
      <c r="D29" s="640"/>
      <c r="E29" s="640"/>
    </row>
    <row r="30" spans="2:5" ht="15">
      <c r="B30" s="640"/>
      <c r="C30" s="640"/>
      <c r="D30" s="640"/>
      <c r="E30" s="640"/>
    </row>
    <row r="31" spans="2:5" ht="15">
      <c r="B31" s="640"/>
      <c r="C31" s="640"/>
      <c r="D31" s="640"/>
      <c r="E31" s="640"/>
    </row>
    <row r="32" spans="2:5" ht="15">
      <c r="B32" s="640"/>
      <c r="C32" s="640"/>
      <c r="D32" s="640"/>
      <c r="E32" s="640"/>
    </row>
    <row r="33" spans="2:5" ht="15">
      <c r="B33" s="640"/>
      <c r="C33" s="640"/>
      <c r="D33" s="640"/>
      <c r="E33" s="640"/>
    </row>
    <row r="34" spans="2:5" ht="15">
      <c r="B34" s="640"/>
      <c r="C34" s="640"/>
      <c r="D34" s="640"/>
      <c r="E34" s="640"/>
    </row>
    <row r="35" spans="2:5" ht="15">
      <c r="B35" s="640"/>
      <c r="C35" s="640"/>
      <c r="D35" s="640"/>
      <c r="E35" s="640"/>
    </row>
    <row r="36" spans="2:5" ht="15">
      <c r="B36" s="640"/>
      <c r="C36" s="640"/>
      <c r="D36" s="640"/>
      <c r="E36" s="640"/>
    </row>
    <row r="37" spans="2:5" ht="15">
      <c r="B37" s="640"/>
      <c r="C37" s="640"/>
      <c r="D37" s="640"/>
      <c r="E37" s="640"/>
    </row>
  </sheetData>
  <sheetProtection/>
  <mergeCells count="6">
    <mergeCell ref="B2:E2"/>
    <mergeCell ref="B3:B6"/>
    <mergeCell ref="C3:C6"/>
    <mergeCell ref="B12:C12"/>
    <mergeCell ref="B19:C19"/>
    <mergeCell ref="D3:E3"/>
  </mergeCells>
  <printOptions/>
  <pageMargins left="0.511811024" right="0.511811024" top="0.787401575" bottom="0.787401575" header="0.31496062" footer="0.31496062"/>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6" tint="-0.4999699890613556"/>
  </sheetPr>
  <dimension ref="A2:G41"/>
  <sheetViews>
    <sheetView showGridLines="0" showRowColHeaders="0" zoomScalePageLayoutView="0" workbookViewId="0" topLeftCell="A1">
      <selection activeCell="A1" sqref="A1"/>
    </sheetView>
  </sheetViews>
  <sheetFormatPr defaultColWidth="9.140625" defaultRowHeight="12.75"/>
  <cols>
    <col min="1" max="1" width="11.421875" style="562" customWidth="1"/>
    <col min="2" max="2" width="22.140625" style="562" customWidth="1"/>
    <col min="3" max="3" width="28.57421875" style="562" customWidth="1"/>
    <col min="4" max="4" width="24.57421875" style="562" customWidth="1"/>
    <col min="5" max="5" width="28.57421875" style="562" customWidth="1"/>
    <col min="6" max="6" width="15.421875" style="562" customWidth="1"/>
    <col min="7" max="16384" width="9.140625" style="562" customWidth="1"/>
  </cols>
  <sheetData>
    <row r="1" ht="60" customHeight="1" thickBot="1"/>
    <row r="2" spans="2:5" ht="45.75" customHeight="1" thickBot="1">
      <c r="B2" s="737" t="s">
        <v>627</v>
      </c>
      <c r="C2" s="738"/>
      <c r="D2" s="738"/>
      <c r="E2" s="739"/>
    </row>
    <row r="3" spans="2:5" ht="24.75" customHeight="1" thickBot="1">
      <c r="B3" s="740" t="s">
        <v>626</v>
      </c>
      <c r="C3" s="746">
        <v>0</v>
      </c>
      <c r="D3" s="743" t="s">
        <v>615</v>
      </c>
      <c r="E3" s="744"/>
    </row>
    <row r="4" spans="2:5" ht="24.75" customHeight="1">
      <c r="B4" s="741"/>
      <c r="C4" s="747"/>
      <c r="D4" s="587" t="s">
        <v>616</v>
      </c>
      <c r="E4" s="589">
        <f>IF($C$3&lt;=B25,IF($C$3&gt;0,500,0),"")</f>
        <v>0</v>
      </c>
    </row>
    <row r="5" spans="2:5" ht="24.75" customHeight="1">
      <c r="B5" s="741"/>
      <c r="C5" s="747"/>
      <c r="D5" s="587" t="s">
        <v>617</v>
      </c>
      <c r="E5" s="589">
        <f>SUM(E14:E25)</f>
        <v>0</v>
      </c>
    </row>
    <row r="6" spans="2:5" ht="24.75" customHeight="1">
      <c r="B6" s="741"/>
      <c r="C6" s="747"/>
      <c r="D6" s="587" t="s">
        <v>614</v>
      </c>
      <c r="E6" s="589">
        <f>SUM(F14:F25)</f>
        <v>0</v>
      </c>
    </row>
    <row r="7" spans="2:7" ht="24.75" customHeight="1" thickBot="1">
      <c r="B7" s="742"/>
      <c r="C7" s="588">
        <f>E26</f>
      </c>
      <c r="D7" s="599" t="s">
        <v>618</v>
      </c>
      <c r="E7" s="600">
        <f>SUM(E4:E6)</f>
        <v>0</v>
      </c>
      <c r="G7" s="562">
        <f>IF($C$3&gt;B14,IF($C$3&lt;=B15,C15,""),"")</f>
      </c>
    </row>
    <row r="10" ht="15">
      <c r="E10" s="615" t="s">
        <v>660</v>
      </c>
    </row>
    <row r="11" spans="1:7" ht="409.5" customHeight="1">
      <c r="A11" s="641"/>
      <c r="B11" s="641"/>
      <c r="C11" s="641"/>
      <c r="D11" s="641"/>
      <c r="E11" s="641"/>
      <c r="F11" s="641"/>
      <c r="G11" s="641"/>
    </row>
    <row r="12" spans="1:7" ht="15">
      <c r="A12" s="745" t="s">
        <v>619</v>
      </c>
      <c r="B12" s="745"/>
      <c r="C12" s="745"/>
      <c r="D12" s="642"/>
      <c r="E12" s="642"/>
      <c r="F12" s="642"/>
      <c r="G12" s="642"/>
    </row>
    <row r="13" spans="1:7" ht="15">
      <c r="A13" s="642" t="s">
        <v>637</v>
      </c>
      <c r="B13" s="643" t="s">
        <v>638</v>
      </c>
      <c r="C13" s="643" t="s">
        <v>621</v>
      </c>
      <c r="D13" s="642"/>
      <c r="E13" s="643" t="s">
        <v>624</v>
      </c>
      <c r="F13" s="643" t="s">
        <v>625</v>
      </c>
      <c r="G13" s="642"/>
    </row>
    <row r="14" spans="1:7" ht="15">
      <c r="A14" s="643" t="s">
        <v>572</v>
      </c>
      <c r="B14" s="644">
        <v>25000</v>
      </c>
      <c r="C14" s="644">
        <v>1000</v>
      </c>
      <c r="D14" s="642"/>
      <c r="E14" s="642">
        <f>IF($C$3&gt;=1,IF($C$3&lt;=B14,C14,""),"")</f>
      </c>
      <c r="F14" s="642">
        <f>IF($C$3&gt;=1,IF($C$3&lt;=B29,C29,""),"")</f>
      </c>
      <c r="G14" s="642"/>
    </row>
    <row r="15" spans="1:7" ht="15">
      <c r="A15" s="645">
        <v>25000.01</v>
      </c>
      <c r="B15" s="644">
        <v>50000</v>
      </c>
      <c r="C15" s="644">
        <v>1500</v>
      </c>
      <c r="D15" s="642"/>
      <c r="E15" s="642">
        <f>IF($C$3&gt;=1,IF(AND($C$3&gt;=A15,$C$3&lt;=B15),C15,""),"")</f>
      </c>
      <c r="F15" s="642">
        <f>IF($C$3&gt;=1,IF(AND($C$3&gt;=A30,$C$3&lt;=B30),C30,""),"")</f>
      </c>
      <c r="G15" s="642"/>
    </row>
    <row r="16" spans="1:7" ht="15">
      <c r="A16" s="645">
        <v>50000.01</v>
      </c>
      <c r="B16" s="644">
        <v>75000</v>
      </c>
      <c r="C16" s="644">
        <v>1800</v>
      </c>
      <c r="D16" s="642"/>
      <c r="E16" s="642">
        <f aca="true" t="shared" si="0" ref="E16:E25">IF($C$3&gt;=1,IF(AND($C$3&gt;=A16,$C$3&lt;=B16),C16,""),"")</f>
      </c>
      <c r="F16" s="642">
        <f aca="true" t="shared" si="1" ref="F16:F26">IF($C$3&gt;=1,IF(AND($C$3&gt;=A31,$C$3&lt;=B31),C31,""),"")</f>
      </c>
      <c r="G16" s="642"/>
    </row>
    <row r="17" spans="1:7" ht="15">
      <c r="A17" s="645">
        <v>75000.01</v>
      </c>
      <c r="B17" s="644">
        <v>100000</v>
      </c>
      <c r="C17" s="644">
        <v>2500</v>
      </c>
      <c r="D17" s="642"/>
      <c r="E17" s="642">
        <f t="shared" si="0"/>
      </c>
      <c r="F17" s="642">
        <f t="shared" si="1"/>
      </c>
      <c r="G17" s="642"/>
    </row>
    <row r="18" spans="1:7" ht="15">
      <c r="A18" s="645">
        <v>100000.01</v>
      </c>
      <c r="B18" s="644">
        <v>150000</v>
      </c>
      <c r="C18" s="644">
        <v>2800</v>
      </c>
      <c r="D18" s="642"/>
      <c r="E18" s="642">
        <f t="shared" si="0"/>
      </c>
      <c r="F18" s="642">
        <f t="shared" si="1"/>
      </c>
      <c r="G18" s="642"/>
    </row>
    <row r="19" spans="1:7" ht="15">
      <c r="A19" s="645">
        <v>150000.01</v>
      </c>
      <c r="B19" s="644">
        <v>200000</v>
      </c>
      <c r="C19" s="644">
        <v>3500</v>
      </c>
      <c r="D19" s="642"/>
      <c r="E19" s="642">
        <f t="shared" si="0"/>
      </c>
      <c r="F19" s="642">
        <f t="shared" si="1"/>
      </c>
      <c r="G19" s="642"/>
    </row>
    <row r="20" spans="1:7" ht="15">
      <c r="A20" s="645">
        <v>200000.01</v>
      </c>
      <c r="B20" s="644">
        <v>250000</v>
      </c>
      <c r="C20" s="644">
        <v>4500</v>
      </c>
      <c r="D20" s="642"/>
      <c r="E20" s="642">
        <f t="shared" si="0"/>
      </c>
      <c r="F20" s="642">
        <f t="shared" si="1"/>
      </c>
      <c r="G20" s="642"/>
    </row>
    <row r="21" spans="1:7" ht="15">
      <c r="A21" s="645">
        <v>250000.01</v>
      </c>
      <c r="B21" s="644">
        <v>300000</v>
      </c>
      <c r="C21" s="644">
        <v>5500</v>
      </c>
      <c r="D21" s="642"/>
      <c r="E21" s="642">
        <f t="shared" si="0"/>
      </c>
      <c r="F21" s="642">
        <f t="shared" si="1"/>
      </c>
      <c r="G21" s="642"/>
    </row>
    <row r="22" spans="1:7" ht="15">
      <c r="A22" s="645">
        <v>300000.01</v>
      </c>
      <c r="B22" s="644">
        <v>350000</v>
      </c>
      <c r="C22" s="644">
        <v>6500</v>
      </c>
      <c r="D22" s="642"/>
      <c r="E22" s="642">
        <f t="shared" si="0"/>
      </c>
      <c r="F22" s="642">
        <f t="shared" si="1"/>
      </c>
      <c r="G22" s="642"/>
    </row>
    <row r="23" spans="1:7" ht="15">
      <c r="A23" s="645">
        <v>350000.01</v>
      </c>
      <c r="B23" s="644">
        <v>400000</v>
      </c>
      <c r="C23" s="644">
        <v>7500</v>
      </c>
      <c r="D23" s="642"/>
      <c r="E23" s="642">
        <f t="shared" si="0"/>
      </c>
      <c r="F23" s="642">
        <f t="shared" si="1"/>
      </c>
      <c r="G23" s="642"/>
    </row>
    <row r="24" spans="1:7" ht="15">
      <c r="A24" s="645">
        <v>400000.01</v>
      </c>
      <c r="B24" s="644">
        <v>450000</v>
      </c>
      <c r="C24" s="644">
        <v>8500</v>
      </c>
      <c r="D24" s="642"/>
      <c r="E24" s="642">
        <f t="shared" si="0"/>
      </c>
      <c r="F24" s="642">
        <f t="shared" si="1"/>
      </c>
      <c r="G24" s="642"/>
    </row>
    <row r="25" spans="1:7" ht="15">
      <c r="A25" s="645">
        <v>450000.01</v>
      </c>
      <c r="B25" s="644">
        <v>500000</v>
      </c>
      <c r="C25" s="644">
        <v>10000</v>
      </c>
      <c r="D25" s="642"/>
      <c r="E25" s="642">
        <f t="shared" si="0"/>
      </c>
      <c r="F25" s="642">
        <f t="shared" si="1"/>
      </c>
      <c r="G25" s="642"/>
    </row>
    <row r="26" spans="1:7" ht="15">
      <c r="A26" s="642"/>
      <c r="B26" s="642"/>
      <c r="C26" s="642"/>
      <c r="D26" s="642"/>
      <c r="E26" s="643">
        <f>IF($C$3&gt;=1,IF($C$3&gt;B25,"Valor Excedido",""),"")</f>
      </c>
      <c r="F26" s="642">
        <f t="shared" si="1"/>
      </c>
      <c r="G26" s="642"/>
    </row>
    <row r="27" spans="1:7" ht="15">
      <c r="A27" s="642"/>
      <c r="B27" s="646" t="s">
        <v>622</v>
      </c>
      <c r="C27" s="646"/>
      <c r="D27" s="642"/>
      <c r="E27" s="642"/>
      <c r="F27" s="642"/>
      <c r="G27" s="642"/>
    </row>
    <row r="28" spans="1:7" ht="15">
      <c r="A28" s="642" t="s">
        <v>637</v>
      </c>
      <c r="B28" s="643" t="s">
        <v>638</v>
      </c>
      <c r="C28" s="643" t="s">
        <v>623</v>
      </c>
      <c r="D28" s="642"/>
      <c r="E28" s="642"/>
      <c r="F28" s="642"/>
      <c r="G28" s="642"/>
    </row>
    <row r="29" spans="1:7" ht="15">
      <c r="A29" s="643" t="s">
        <v>572</v>
      </c>
      <c r="B29" s="644">
        <v>25000</v>
      </c>
      <c r="C29" s="644">
        <v>1200</v>
      </c>
      <c r="D29" s="642"/>
      <c r="E29" s="642"/>
      <c r="F29" s="642"/>
      <c r="G29" s="642"/>
    </row>
    <row r="30" spans="1:7" ht="15">
      <c r="A30" s="645">
        <v>25000.01</v>
      </c>
      <c r="B30" s="644">
        <v>50000</v>
      </c>
      <c r="C30" s="644">
        <v>2400</v>
      </c>
      <c r="D30" s="642"/>
      <c r="E30" s="642"/>
      <c r="F30" s="642"/>
      <c r="G30" s="642"/>
    </row>
    <row r="31" spans="1:7" ht="15">
      <c r="A31" s="645">
        <v>50000.01</v>
      </c>
      <c r="B31" s="644">
        <v>75000</v>
      </c>
      <c r="C31" s="644">
        <v>3600</v>
      </c>
      <c r="D31" s="642"/>
      <c r="E31" s="642"/>
      <c r="F31" s="642"/>
      <c r="G31" s="642"/>
    </row>
    <row r="32" spans="1:7" ht="15">
      <c r="A32" s="645">
        <v>75000.01</v>
      </c>
      <c r="B32" s="644">
        <v>100000</v>
      </c>
      <c r="C32" s="644">
        <v>4800</v>
      </c>
      <c r="D32" s="642"/>
      <c r="E32" s="642"/>
      <c r="F32" s="642"/>
      <c r="G32" s="642"/>
    </row>
    <row r="33" spans="1:7" ht="15">
      <c r="A33" s="645">
        <v>100000.01</v>
      </c>
      <c r="B33" s="644">
        <v>150000</v>
      </c>
      <c r="C33" s="644">
        <v>6000</v>
      </c>
      <c r="D33" s="642"/>
      <c r="E33" s="642"/>
      <c r="F33" s="642"/>
      <c r="G33" s="642"/>
    </row>
    <row r="34" spans="1:7" ht="15">
      <c r="A34" s="645">
        <v>150000.01</v>
      </c>
      <c r="B34" s="644">
        <v>200000</v>
      </c>
      <c r="C34" s="644">
        <v>9000</v>
      </c>
      <c r="D34" s="642"/>
      <c r="E34" s="642"/>
      <c r="F34" s="642"/>
      <c r="G34" s="642"/>
    </row>
    <row r="35" spans="1:7" ht="15">
      <c r="A35" s="645">
        <v>200000.01</v>
      </c>
      <c r="B35" s="644">
        <v>250000</v>
      </c>
      <c r="C35" s="644">
        <v>12000</v>
      </c>
      <c r="D35" s="642"/>
      <c r="E35" s="642"/>
      <c r="F35" s="642"/>
      <c r="G35" s="642"/>
    </row>
    <row r="36" spans="1:7" ht="15">
      <c r="A36" s="645">
        <v>250000.01</v>
      </c>
      <c r="B36" s="644">
        <v>300000</v>
      </c>
      <c r="C36" s="644">
        <v>15000</v>
      </c>
      <c r="D36" s="642"/>
      <c r="E36" s="642"/>
      <c r="F36" s="642"/>
      <c r="G36" s="642"/>
    </row>
    <row r="37" spans="1:7" ht="15">
      <c r="A37" s="645">
        <v>300000.01</v>
      </c>
      <c r="B37" s="644">
        <v>350000</v>
      </c>
      <c r="C37" s="644">
        <v>18000</v>
      </c>
      <c r="D37" s="642"/>
      <c r="E37" s="642"/>
      <c r="F37" s="642"/>
      <c r="G37" s="642"/>
    </row>
    <row r="38" spans="1:7" ht="15">
      <c r="A38" s="645">
        <v>350000.01</v>
      </c>
      <c r="B38" s="644">
        <v>400000</v>
      </c>
      <c r="C38" s="644">
        <v>21000</v>
      </c>
      <c r="D38" s="642"/>
      <c r="E38" s="642"/>
      <c r="F38" s="642"/>
      <c r="G38" s="642"/>
    </row>
    <row r="39" spans="1:7" ht="15">
      <c r="A39" s="645">
        <v>400000.01</v>
      </c>
      <c r="B39" s="644">
        <v>450000</v>
      </c>
      <c r="C39" s="644">
        <v>24000</v>
      </c>
      <c r="D39" s="642"/>
      <c r="E39" s="642"/>
      <c r="F39" s="642"/>
      <c r="G39" s="642"/>
    </row>
    <row r="40" spans="1:7" ht="15">
      <c r="A40" s="645">
        <v>450000.01</v>
      </c>
      <c r="B40" s="644">
        <v>500000</v>
      </c>
      <c r="C40" s="644">
        <v>27000</v>
      </c>
      <c r="D40" s="642"/>
      <c r="E40" s="642"/>
      <c r="F40" s="642"/>
      <c r="G40" s="642"/>
    </row>
    <row r="41" spans="1:7" ht="15">
      <c r="A41" s="647"/>
      <c r="B41" s="647"/>
      <c r="C41" s="647"/>
      <c r="D41" s="647"/>
      <c r="E41" s="647"/>
      <c r="F41" s="647"/>
      <c r="G41" s="647"/>
    </row>
  </sheetData>
  <sheetProtection password="D1C9" sheet="1"/>
  <mergeCells count="5">
    <mergeCell ref="B2:E2"/>
    <mergeCell ref="B3:B7"/>
    <mergeCell ref="D3:E3"/>
    <mergeCell ref="A12:C12"/>
    <mergeCell ref="C3:C6"/>
  </mergeCells>
  <printOptions/>
  <pageMargins left="0.511811024" right="0.511811024" top="0.787401575" bottom="0.787401575" header="0.31496062" footer="0.3149606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5" tint="-0.4999699890613556"/>
  </sheetPr>
  <dimension ref="A2:G39"/>
  <sheetViews>
    <sheetView showGridLines="0" showRowColHeaders="0" zoomScalePageLayoutView="0" workbookViewId="0" topLeftCell="A1">
      <selection activeCell="A1" sqref="A1"/>
    </sheetView>
  </sheetViews>
  <sheetFormatPr defaultColWidth="9.140625" defaultRowHeight="12.75"/>
  <cols>
    <col min="1" max="1" width="11.421875" style="553" customWidth="1"/>
    <col min="2" max="2" width="27.00390625" style="553" customWidth="1"/>
    <col min="3" max="3" width="13.28125" style="553" customWidth="1"/>
    <col min="4" max="4" width="32.00390625" style="553" customWidth="1"/>
    <col min="5" max="5" width="30.7109375" style="553" customWidth="1"/>
    <col min="6" max="6" width="28.57421875" style="553" customWidth="1"/>
    <col min="7" max="7" width="25.28125" style="553" customWidth="1"/>
    <col min="8" max="16384" width="9.140625" style="553" customWidth="1"/>
  </cols>
  <sheetData>
    <row r="1" ht="60" customHeight="1" thickBot="1"/>
    <row r="2" spans="2:6" ht="45.75" customHeight="1" thickBot="1">
      <c r="B2" s="749" t="s">
        <v>659</v>
      </c>
      <c r="C2" s="750"/>
      <c r="D2" s="750"/>
      <c r="E2" s="750"/>
      <c r="F2" s="751"/>
    </row>
    <row r="3" spans="2:6" ht="24.75" customHeight="1" thickBot="1">
      <c r="B3" s="752" t="s">
        <v>626</v>
      </c>
      <c r="C3" s="757">
        <v>0</v>
      </c>
      <c r="D3" s="758"/>
      <c r="E3" s="755" t="s">
        <v>651</v>
      </c>
      <c r="F3" s="756"/>
    </row>
    <row r="4" spans="2:6" ht="24.75" customHeight="1">
      <c r="B4" s="753"/>
      <c r="C4" s="759"/>
      <c r="D4" s="760"/>
      <c r="E4" s="569" t="s">
        <v>616</v>
      </c>
      <c r="F4" s="593">
        <f>SUM(E15:E16)</f>
        <v>0</v>
      </c>
    </row>
    <row r="5" spans="2:6" ht="24.75" customHeight="1">
      <c r="B5" s="753"/>
      <c r="C5" s="759"/>
      <c r="D5" s="760"/>
      <c r="E5" s="570" t="s">
        <v>617</v>
      </c>
      <c r="F5" s="594">
        <f>SUM(D26:D33)</f>
        <v>0</v>
      </c>
    </row>
    <row r="6" spans="2:6" ht="24.75" customHeight="1" thickBot="1">
      <c r="B6" s="754"/>
      <c r="C6" s="761">
        <f>IF(C3&gt;=1,IF(C3&lt;A15,"Valor Abaixo do Limite",""),"")</f>
      </c>
      <c r="D6" s="762"/>
      <c r="E6" s="571" t="s">
        <v>614</v>
      </c>
      <c r="F6" s="595">
        <f>SUM(E20:E21)</f>
        <v>0</v>
      </c>
    </row>
    <row r="7" spans="2:6" ht="24.75" customHeight="1" thickBot="1">
      <c r="B7" s="763" t="s">
        <v>662</v>
      </c>
      <c r="C7" s="618" t="s">
        <v>661</v>
      </c>
      <c r="D7" s="619" t="s">
        <v>663</v>
      </c>
      <c r="E7" s="765" t="s">
        <v>618</v>
      </c>
      <c r="F7" s="767">
        <f>SUM(F4:F6)</f>
        <v>0</v>
      </c>
    </row>
    <row r="8" spans="2:6" ht="31.5" customHeight="1" thickBot="1">
      <c r="B8" s="764"/>
      <c r="C8" s="651">
        <v>1</v>
      </c>
      <c r="D8" s="602">
        <v>0</v>
      </c>
      <c r="E8" s="766"/>
      <c r="F8" s="768"/>
    </row>
    <row r="9" spans="2:6" ht="18.75" customHeight="1">
      <c r="B9" s="558"/>
      <c r="C9" s="558"/>
      <c r="D9" s="559"/>
      <c r="E9" s="560"/>
      <c r="F9" s="561"/>
    </row>
    <row r="10" spans="2:6" ht="15.75" customHeight="1">
      <c r="B10" s="558"/>
      <c r="C10" s="558"/>
      <c r="D10" s="559"/>
      <c r="E10" s="560"/>
      <c r="F10" s="561"/>
    </row>
    <row r="11" spans="2:6" ht="15.75" customHeight="1">
      <c r="B11" s="558"/>
      <c r="C11" s="558"/>
      <c r="D11" s="559"/>
      <c r="E11" s="560"/>
      <c r="F11" s="616" t="s">
        <v>660</v>
      </c>
    </row>
    <row r="12" spans="1:5" ht="384" customHeight="1">
      <c r="A12" s="555"/>
      <c r="B12" s="555"/>
      <c r="C12" s="555"/>
      <c r="D12" s="555"/>
      <c r="E12" s="555"/>
    </row>
    <row r="13" spans="1:6" ht="15">
      <c r="A13" s="748" t="s">
        <v>616</v>
      </c>
      <c r="B13" s="748"/>
      <c r="C13" s="748"/>
      <c r="D13" s="620"/>
      <c r="E13" s="621"/>
      <c r="F13" s="572"/>
    </row>
    <row r="14" spans="1:5" ht="15">
      <c r="A14" s="748" t="s">
        <v>620</v>
      </c>
      <c r="B14" s="748"/>
      <c r="C14" s="622" t="s">
        <v>628</v>
      </c>
      <c r="D14" s="621"/>
      <c r="E14" s="622" t="s">
        <v>629</v>
      </c>
    </row>
    <row r="15" spans="1:5" ht="15">
      <c r="A15" s="623">
        <v>500000.01</v>
      </c>
      <c r="B15" s="624">
        <v>1000000</v>
      </c>
      <c r="C15" s="624">
        <v>2500</v>
      </c>
      <c r="D15" s="621"/>
      <c r="E15" s="621">
        <f>IF($C$3&gt;=A15,IF($C$3&lt;=B15,C15,""),"")</f>
      </c>
    </row>
    <row r="16" spans="1:5" ht="15">
      <c r="A16" s="622" t="s">
        <v>640</v>
      </c>
      <c r="B16" s="624">
        <v>1000000.01</v>
      </c>
      <c r="C16" s="624">
        <v>3500</v>
      </c>
      <c r="D16" s="621"/>
      <c r="E16" s="621">
        <f>IF($C$3&gt;=B16,C16,"")</f>
      </c>
    </row>
    <row r="17" spans="1:6" ht="15">
      <c r="A17" s="621"/>
      <c r="B17" s="624"/>
      <c r="C17" s="624"/>
      <c r="D17" s="624"/>
      <c r="E17" s="621"/>
      <c r="F17" s="573"/>
    </row>
    <row r="18" spans="1:6" ht="15">
      <c r="A18" s="621"/>
      <c r="B18" s="621"/>
      <c r="C18" s="621"/>
      <c r="D18" s="621"/>
      <c r="E18" s="621"/>
      <c r="F18" s="573"/>
    </row>
    <row r="19" spans="1:7" ht="14.25" customHeight="1">
      <c r="A19" s="621"/>
      <c r="B19" s="748" t="s">
        <v>622</v>
      </c>
      <c r="C19" s="748"/>
      <c r="D19" s="620"/>
      <c r="E19" s="625" t="s">
        <v>645</v>
      </c>
      <c r="G19" s="554"/>
    </row>
    <row r="20" spans="1:5" ht="12" customHeight="1">
      <c r="A20" s="621"/>
      <c r="B20" s="622" t="s">
        <v>631</v>
      </c>
      <c r="C20" s="622" t="s">
        <v>623</v>
      </c>
      <c r="D20" s="621"/>
      <c r="E20" s="626">
        <f>IF($C$3&gt;=A15,IF($C$3&gt;0,IF($D$8&lt;=20,C21*C8,""),""),"")</f>
      </c>
    </row>
    <row r="21" spans="1:5" ht="15">
      <c r="A21" s="621"/>
      <c r="B21" s="624" t="s">
        <v>632</v>
      </c>
      <c r="C21" s="624">
        <v>12000</v>
      </c>
      <c r="D21" s="621"/>
      <c r="E21" s="621">
        <f>IF(C3&gt;=A15,IF($D$8&gt;20,C22*C8*D8,""),"")</f>
      </c>
    </row>
    <row r="22" spans="1:5" ht="15">
      <c r="A22" s="621"/>
      <c r="B22" s="624" t="s">
        <v>633</v>
      </c>
      <c r="C22" s="624">
        <v>600</v>
      </c>
      <c r="D22" s="621"/>
      <c r="E22" s="621"/>
    </row>
    <row r="23" spans="1:6" ht="15">
      <c r="A23" s="621"/>
      <c r="B23" s="624"/>
      <c r="C23" s="624"/>
      <c r="D23" s="624"/>
      <c r="E23" s="621"/>
      <c r="F23" s="573"/>
    </row>
    <row r="24" spans="1:7" ht="15.75" customHeight="1">
      <c r="A24" s="621"/>
      <c r="B24" s="624"/>
      <c r="C24" s="624"/>
      <c r="D24" s="624"/>
      <c r="E24" s="621"/>
      <c r="F24" s="573"/>
      <c r="G24" s="555"/>
    </row>
    <row r="25" spans="1:6" ht="45">
      <c r="A25" s="627" t="s">
        <v>641</v>
      </c>
      <c r="B25" s="628" t="s">
        <v>642</v>
      </c>
      <c r="C25" s="628" t="s">
        <v>643</v>
      </c>
      <c r="D25" s="627" t="s">
        <v>646</v>
      </c>
      <c r="E25" s="621"/>
      <c r="F25" s="555"/>
    </row>
    <row r="26" spans="1:6" ht="15">
      <c r="A26" s="623">
        <v>500000.01</v>
      </c>
      <c r="B26" s="623">
        <v>1000000</v>
      </c>
      <c r="C26" s="624">
        <v>15000</v>
      </c>
      <c r="D26" s="629" t="str">
        <f>IF(AND($C$3&gt;=A26,$C$3&lt;=B26),C26,"0")</f>
        <v>0</v>
      </c>
      <c r="E26" s="621"/>
      <c r="F26" s="555"/>
    </row>
    <row r="27" spans="1:6" ht="15">
      <c r="A27" s="623">
        <v>1000000.01</v>
      </c>
      <c r="B27" s="623">
        <v>5000000</v>
      </c>
      <c r="C27" s="624">
        <v>15000</v>
      </c>
      <c r="D27" s="629" t="str">
        <f>IF(AND($C$3&gt;=A27,$C$3&lt;=B27),($C$3-A27)*0.0075+C27,"0")</f>
        <v>0</v>
      </c>
      <c r="E27" s="621"/>
      <c r="F27" s="555"/>
    </row>
    <row r="28" spans="1:6" ht="15">
      <c r="A28" s="623">
        <v>5000000.01</v>
      </c>
      <c r="B28" s="623">
        <v>10000000</v>
      </c>
      <c r="C28" s="623">
        <v>45000</v>
      </c>
      <c r="D28" s="629" t="str">
        <f>IF(AND($C$3&gt;=A28,$C$3&lt;=B28),($C$3-A28)*0.004+C28,"0")</f>
        <v>0</v>
      </c>
      <c r="E28" s="621"/>
      <c r="F28" s="555"/>
    </row>
    <row r="29" spans="1:5" ht="15">
      <c r="A29" s="623">
        <v>10000000.01</v>
      </c>
      <c r="B29" s="623">
        <v>15000000</v>
      </c>
      <c r="C29" s="623">
        <v>65000</v>
      </c>
      <c r="D29" s="629" t="str">
        <f>IF(AND($C$3&gt;=A29,$C$3&lt;=B29),($C$3-A29)*0.003+C29,"0")</f>
        <v>0</v>
      </c>
      <c r="E29" s="621"/>
    </row>
    <row r="30" spans="1:5" ht="15">
      <c r="A30" s="623">
        <v>15000000.01</v>
      </c>
      <c r="B30" s="623">
        <v>25000000</v>
      </c>
      <c r="C30" s="623">
        <v>70000</v>
      </c>
      <c r="D30" s="629" t="str">
        <f>IF(AND($C$3&gt;=A30,$C$3&lt;=B30),($C$3-A30)*0.0012+C30,"0")</f>
        <v>0</v>
      </c>
      <c r="E30" s="621"/>
    </row>
    <row r="31" spans="1:5" ht="14.25" customHeight="1">
      <c r="A31" s="623">
        <v>25000000.01</v>
      </c>
      <c r="B31" s="623">
        <v>50000000</v>
      </c>
      <c r="C31" s="623">
        <v>82000</v>
      </c>
      <c r="D31" s="629" t="str">
        <f>IF(AND($C$3&gt;=A31,$C$3&lt;=B31),($C$3-A31)*0.0009+C31,"0")</f>
        <v>0</v>
      </c>
      <c r="E31" s="625"/>
    </row>
    <row r="32" spans="1:5" ht="15">
      <c r="A32" s="623">
        <v>50000000.01</v>
      </c>
      <c r="B32" s="623">
        <v>100000000</v>
      </c>
      <c r="C32" s="623">
        <v>104500</v>
      </c>
      <c r="D32" s="629" t="str">
        <f>IF(AND($C$3&gt;=A32,$C$3&lt;=B32),($C$3-A32)*0.0004+C32,"0")</f>
        <v>0</v>
      </c>
      <c r="E32" s="630"/>
    </row>
    <row r="33" spans="1:5" ht="15">
      <c r="A33" s="623" t="s">
        <v>644</v>
      </c>
      <c r="B33" s="623">
        <v>100000000.01</v>
      </c>
      <c r="C33" s="623">
        <v>120000</v>
      </c>
      <c r="D33" s="629" t="str">
        <f>IF($C$3&gt;B33,C33,"0")</f>
        <v>0</v>
      </c>
      <c r="E33" s="630"/>
    </row>
    <row r="34" spans="1:6" ht="15">
      <c r="A34" s="631"/>
      <c r="B34" s="631"/>
      <c r="C34" s="631"/>
      <c r="D34" s="632"/>
      <c r="E34" s="632"/>
      <c r="F34" s="556"/>
    </row>
    <row r="35" spans="1:6" ht="15">
      <c r="A35" s="557"/>
      <c r="B35" s="557"/>
      <c r="C35" s="557"/>
      <c r="F35" s="556"/>
    </row>
    <row r="36" spans="1:6" ht="15">
      <c r="A36" s="557"/>
      <c r="B36" s="557"/>
      <c r="C36" s="557"/>
      <c r="F36" s="556"/>
    </row>
    <row r="37" spans="1:6" ht="15">
      <c r="A37" s="557"/>
      <c r="B37" s="557"/>
      <c r="C37" s="557"/>
      <c r="F37" s="556"/>
    </row>
    <row r="38" spans="1:6" ht="15">
      <c r="A38" s="557"/>
      <c r="B38" s="557"/>
      <c r="C38" s="557"/>
      <c r="F38" s="556"/>
    </row>
    <row r="39" spans="1:6" ht="15">
      <c r="A39" s="557"/>
      <c r="B39" s="557"/>
      <c r="C39" s="557"/>
      <c r="F39" s="556"/>
    </row>
  </sheetData>
  <sheetProtection password="D1C9" sheet="1"/>
  <mergeCells count="11">
    <mergeCell ref="A13:C13"/>
    <mergeCell ref="B19:C19"/>
    <mergeCell ref="B2:F2"/>
    <mergeCell ref="B3:B6"/>
    <mergeCell ref="E3:F3"/>
    <mergeCell ref="A14:B14"/>
    <mergeCell ref="C3:D5"/>
    <mergeCell ref="C6:D6"/>
    <mergeCell ref="B7:B8"/>
    <mergeCell ref="E7:E8"/>
    <mergeCell ref="F7:F8"/>
  </mergeCells>
  <printOptions/>
  <pageMargins left="0.511811024" right="0.511811024" top="0.787401575" bottom="0.787401575" header="0.31496062" footer="0.3149606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B2:F19"/>
  <sheetViews>
    <sheetView showGridLines="0" showRowColHeaders="0" zoomScalePageLayoutView="0" workbookViewId="0" topLeftCell="A1">
      <selection activeCell="A1" sqref="A1"/>
    </sheetView>
  </sheetViews>
  <sheetFormatPr defaultColWidth="9.140625" defaultRowHeight="12.75"/>
  <cols>
    <col min="1" max="1" width="11.421875" style="545" customWidth="1"/>
    <col min="2" max="2" width="23.7109375" style="545" customWidth="1"/>
    <col min="3" max="3" width="28.57421875" style="545" customWidth="1"/>
    <col min="4" max="4" width="28.00390625" style="545" customWidth="1"/>
    <col min="5" max="5" width="28.57421875" style="545" customWidth="1"/>
    <col min="6" max="6" width="25.28125" style="545" customWidth="1"/>
    <col min="7" max="16384" width="9.140625" style="545" customWidth="1"/>
  </cols>
  <sheetData>
    <row r="1" ht="60" customHeight="1" thickBot="1"/>
    <row r="2" spans="2:6" ht="45.75" customHeight="1" thickBot="1">
      <c r="B2" s="769" t="s">
        <v>648</v>
      </c>
      <c r="C2" s="770"/>
      <c r="D2" s="770"/>
      <c r="E2" s="771"/>
      <c r="F2" s="546"/>
    </row>
    <row r="3" spans="2:6" ht="24.75" customHeight="1" thickBot="1">
      <c r="B3" s="776" t="s">
        <v>626</v>
      </c>
      <c r="C3" s="773">
        <v>0</v>
      </c>
      <c r="D3" s="779" t="s">
        <v>615</v>
      </c>
      <c r="E3" s="780"/>
      <c r="F3" s="547"/>
    </row>
    <row r="4" spans="2:6" ht="24.75" customHeight="1">
      <c r="B4" s="777"/>
      <c r="C4" s="774"/>
      <c r="D4" s="566" t="s">
        <v>616</v>
      </c>
      <c r="E4" s="568">
        <f>IF($C$3&gt;0,5000,0)</f>
        <v>0</v>
      </c>
      <c r="F4" s="548"/>
    </row>
    <row r="5" spans="2:6" ht="24.75" customHeight="1" thickBot="1">
      <c r="B5" s="778"/>
      <c r="C5" s="775"/>
      <c r="D5" s="567" t="s">
        <v>614</v>
      </c>
      <c r="E5" s="597">
        <f>C6*C15</f>
        <v>0</v>
      </c>
      <c r="F5" s="549"/>
    </row>
    <row r="6" spans="2:6" ht="43.5" customHeight="1" thickBot="1">
      <c r="B6" s="563" t="s">
        <v>649</v>
      </c>
      <c r="C6" s="564">
        <v>0</v>
      </c>
      <c r="D6" s="565" t="s">
        <v>613</v>
      </c>
      <c r="E6" s="598">
        <f>SUM(E4:E5)</f>
        <v>0</v>
      </c>
      <c r="F6" s="550"/>
    </row>
    <row r="7" ht="30" customHeight="1">
      <c r="E7" s="551"/>
    </row>
    <row r="8" ht="30" customHeight="1">
      <c r="E8" s="617" t="s">
        <v>660</v>
      </c>
    </row>
    <row r="9" ht="30" customHeight="1">
      <c r="E9" s="551"/>
    </row>
    <row r="10" spans="2:3" ht="19.5" customHeight="1">
      <c r="B10" s="549"/>
      <c r="C10" s="549"/>
    </row>
    <row r="11" spans="2:5" ht="30.75" customHeight="1">
      <c r="B11" s="549"/>
      <c r="C11" s="549"/>
      <c r="E11" s="552"/>
    </row>
    <row r="12" spans="2:6" ht="409.5" customHeight="1">
      <c r="B12" s="551"/>
      <c r="C12" s="551"/>
      <c r="E12" s="551"/>
      <c r="F12" s="551"/>
    </row>
    <row r="13" spans="2:6" ht="15">
      <c r="B13" s="772" t="s">
        <v>622</v>
      </c>
      <c r="C13" s="772"/>
      <c r="E13" s="551"/>
      <c r="F13" s="551"/>
    </row>
    <row r="14" spans="2:6" ht="15">
      <c r="B14" s="648" t="s">
        <v>631</v>
      </c>
      <c r="C14" s="648" t="s">
        <v>623</v>
      </c>
      <c r="F14" s="551"/>
    </row>
    <row r="15" spans="2:6" ht="30">
      <c r="B15" s="649" t="s">
        <v>650</v>
      </c>
      <c r="C15" s="650">
        <v>600</v>
      </c>
      <c r="F15" s="551"/>
    </row>
    <row r="16" spans="2:5" ht="15">
      <c r="B16" s="650"/>
      <c r="C16" s="650"/>
      <c r="E16" s="551"/>
    </row>
    <row r="17" spans="2:5" ht="15">
      <c r="B17" s="549"/>
      <c r="C17" s="549"/>
      <c r="E17" s="551"/>
    </row>
    <row r="18" spans="2:3" ht="15">
      <c r="B18" s="549"/>
      <c r="C18" s="549"/>
    </row>
    <row r="19" spans="2:3" ht="15">
      <c r="B19" s="549"/>
      <c r="C19" s="549"/>
    </row>
  </sheetData>
  <sheetProtection password="D1C9" sheet="1"/>
  <mergeCells count="5">
    <mergeCell ref="B2:E2"/>
    <mergeCell ref="B13:C13"/>
    <mergeCell ref="C3:C5"/>
    <mergeCell ref="B3:B5"/>
    <mergeCell ref="D3:E3"/>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54"/>
  <sheetViews>
    <sheetView workbookViewId="0" topLeftCell="A10">
      <selection activeCell="B21" sqref="B21"/>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10.00390625" style="269"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56" t="s">
        <v>561</v>
      </c>
      <c r="B1" s="657"/>
      <c r="C1" s="657"/>
      <c r="D1" s="657"/>
      <c r="E1" s="657"/>
      <c r="F1" s="657"/>
    </row>
    <row r="2" spans="1:6" ht="40.5" customHeight="1">
      <c r="A2" s="658" t="s">
        <v>560</v>
      </c>
      <c r="B2" s="659"/>
      <c r="C2" s="659"/>
      <c r="D2" s="659"/>
      <c r="E2" s="659"/>
      <c r="F2" s="659"/>
    </row>
    <row r="3" spans="1:24" s="271" customFormat="1" ht="21.75" customHeight="1">
      <c r="A3" s="323"/>
      <c r="B3" s="323"/>
      <c r="C3" s="660" t="s">
        <v>542</v>
      </c>
      <c r="D3" s="661"/>
      <c r="E3" s="662" t="s">
        <v>558</v>
      </c>
      <c r="F3" s="663"/>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64" t="s">
        <v>559</v>
      </c>
      <c r="B4" s="664"/>
      <c r="C4" s="665" t="s">
        <v>543</v>
      </c>
      <c r="D4" s="665"/>
      <c r="E4" s="666" t="s">
        <v>543</v>
      </c>
      <c r="F4" s="666"/>
      <c r="G4"/>
      <c r="H4" s="267"/>
      <c r="I4" s="268"/>
      <c r="J4" s="267"/>
      <c r="K4" s="269"/>
      <c r="L4" s="269"/>
      <c r="M4" s="276"/>
      <c r="N4" s="277">
        <f>50000*1.8</f>
        <v>90000</v>
      </c>
      <c r="O4" s="278">
        <f>3000*1.8</f>
        <v>5400</v>
      </c>
      <c r="P4" s="279">
        <v>0.06</v>
      </c>
      <c r="Q4" s="263">
        <f>R4*N4</f>
        <v>16218</v>
      </c>
      <c r="R4" s="280">
        <f>18.02%</f>
        <v>0.1802</v>
      </c>
      <c r="S4" s="281">
        <f>(N4)*P4</f>
        <v>5400</v>
      </c>
      <c r="T4" s="282">
        <f>R4*N4</f>
        <v>16218</v>
      </c>
      <c r="U4" s="283">
        <f aca="true" t="shared" si="0" ref="U4:U9">(S4+T4)*0.6</f>
        <v>12970.8</v>
      </c>
      <c r="V4" s="270"/>
      <c r="X4" s="270"/>
    </row>
    <row r="5" spans="1:23" s="271" customFormat="1" ht="21.75" customHeight="1">
      <c r="A5" s="266"/>
      <c r="B5" s="264"/>
      <c r="C5" s="264"/>
      <c r="D5" s="275"/>
      <c r="E5" s="264"/>
      <c r="F5" s="275"/>
      <c r="G5"/>
      <c r="H5"/>
      <c r="I5" s="268"/>
      <c r="J5" s="281" t="s">
        <v>593</v>
      </c>
      <c r="K5" s="267"/>
      <c r="L5" s="269"/>
      <c r="M5" s="278">
        <f>50001*1.8</f>
        <v>90001.8</v>
      </c>
      <c r="N5" s="277">
        <f>100000*1.8</f>
        <v>180000</v>
      </c>
      <c r="O5" s="278">
        <f>3000*1.8</f>
        <v>5400</v>
      </c>
      <c r="P5" s="285">
        <v>0.0265</v>
      </c>
      <c r="Q5" s="286">
        <f>T4</f>
        <v>16218</v>
      </c>
      <c r="R5" s="280">
        <v>0.13568</v>
      </c>
      <c r="S5" s="281">
        <f>((N5-N4)*P5)+O5</f>
        <v>7785</v>
      </c>
      <c r="T5" s="281">
        <f>((N5-N4)*R5)+Q5</f>
        <v>28429.199999999997</v>
      </c>
      <c r="U5" s="283">
        <f t="shared" si="0"/>
        <v>21728.519999999997</v>
      </c>
      <c r="V5" s="270"/>
      <c r="W5" s="270"/>
    </row>
    <row r="6" spans="1:23" s="271" customFormat="1" ht="21.75" customHeight="1">
      <c r="A6" s="324">
        <v>1</v>
      </c>
      <c r="B6" s="324">
        <v>1000000</v>
      </c>
      <c r="C6" s="319">
        <v>2000</v>
      </c>
      <c r="D6" s="321">
        <v>0.00019</v>
      </c>
      <c r="E6" s="292">
        <f>250*1.8</f>
        <v>450</v>
      </c>
      <c r="F6" s="351" t="s">
        <v>591</v>
      </c>
      <c r="G6"/>
      <c r="H6" s="364"/>
      <c r="I6" s="365">
        <f>E6*100</f>
        <v>45000</v>
      </c>
      <c r="J6" s="281">
        <f>U6*0.7</f>
        <v>22101.66</v>
      </c>
      <c r="K6" s="267"/>
      <c r="L6" s="279"/>
      <c r="M6" s="278">
        <f>100001*1.8</f>
        <v>180001.80000000002</v>
      </c>
      <c r="N6" s="277">
        <f>200000*1.8</f>
        <v>360000</v>
      </c>
      <c r="O6" s="278">
        <f aca="true" t="shared" si="1" ref="O6:O16">S5</f>
        <v>7785</v>
      </c>
      <c r="P6" s="285">
        <v>0.01431</v>
      </c>
      <c r="Q6" s="286">
        <f>T5</f>
        <v>28429.199999999997</v>
      </c>
      <c r="R6" s="280">
        <v>0.07685</v>
      </c>
      <c r="S6" s="281">
        <f aca="true" t="shared" si="2" ref="S6:S15">((N6-N5)*P6)+O6</f>
        <v>10360.8</v>
      </c>
      <c r="T6" s="281">
        <f aca="true" t="shared" si="3" ref="T6:T16">((N6-N5)*R6)+Q6</f>
        <v>42262.2</v>
      </c>
      <c r="U6" s="283">
        <f t="shared" si="0"/>
        <v>31573.8</v>
      </c>
      <c r="V6" s="270"/>
      <c r="W6" s="270"/>
    </row>
    <row r="7" spans="1:23" s="271" customFormat="1" ht="21.75" customHeight="1">
      <c r="A7" s="264">
        <v>1000001</v>
      </c>
      <c r="B7" s="264">
        <v>2000000</v>
      </c>
      <c r="C7" s="264">
        <f>C6+(B6-A6)*D6</f>
        <v>2189.99981</v>
      </c>
      <c r="D7" s="287">
        <v>0.00016</v>
      </c>
      <c r="E7" s="284">
        <v>500</v>
      </c>
      <c r="F7" s="352" t="s">
        <v>591</v>
      </c>
      <c r="G7"/>
      <c r="H7" s="355"/>
      <c r="I7" s="356">
        <f>E7*100</f>
        <v>50000</v>
      </c>
      <c r="J7" s="281">
        <f>U7*0.7</f>
        <v>40708.332</v>
      </c>
      <c r="K7" s="267"/>
      <c r="L7" s="285"/>
      <c r="M7" s="278">
        <f>200001*1.8</f>
        <v>360001.8</v>
      </c>
      <c r="N7" s="277">
        <f>500000*1.8</f>
        <v>900000</v>
      </c>
      <c r="O7" s="278">
        <f t="shared" si="1"/>
        <v>10360.8</v>
      </c>
      <c r="P7" s="285">
        <v>0.01367</v>
      </c>
      <c r="Q7" s="286">
        <f aca="true" t="shared" si="4" ref="Q7:Q16">T6</f>
        <v>42262.2</v>
      </c>
      <c r="R7" s="280">
        <v>0.06837</v>
      </c>
      <c r="S7" s="281">
        <f t="shared" si="2"/>
        <v>17742.6</v>
      </c>
      <c r="T7" s="281">
        <f t="shared" si="3"/>
        <v>79182</v>
      </c>
      <c r="U7" s="283">
        <f t="shared" si="0"/>
        <v>58154.76</v>
      </c>
      <c r="V7" s="270"/>
      <c r="W7" s="270"/>
    </row>
    <row r="8" spans="1:23" s="271" customFormat="1" ht="21.75" customHeight="1">
      <c r="A8" s="324">
        <v>2000001</v>
      </c>
      <c r="B8" s="324">
        <v>3000000</v>
      </c>
      <c r="C8" s="319">
        <f aca="true" t="shared" si="5" ref="C8:C17">C7+(B7-B6)*D7</f>
        <v>2349.99981</v>
      </c>
      <c r="D8" s="320">
        <v>0.0001</v>
      </c>
      <c r="E8" s="292">
        <v>550</v>
      </c>
      <c r="F8" s="351" t="s">
        <v>591</v>
      </c>
      <c r="G8"/>
      <c r="H8" s="366"/>
      <c r="I8" s="367">
        <f>E8*100</f>
        <v>55000</v>
      </c>
      <c r="J8" s="281">
        <f>U8*0.7</f>
        <v>59540.291999999994</v>
      </c>
      <c r="K8" s="267"/>
      <c r="L8" s="285"/>
      <c r="M8" s="278">
        <f>500001*1.8</f>
        <v>900001.8</v>
      </c>
      <c r="N8" s="277">
        <f>1000000*1.8</f>
        <v>1800000</v>
      </c>
      <c r="O8" s="278">
        <f t="shared" si="1"/>
        <v>17742.6</v>
      </c>
      <c r="P8" s="285">
        <v>0.00954</v>
      </c>
      <c r="Q8" s="286">
        <f t="shared" si="4"/>
        <v>79182</v>
      </c>
      <c r="R8" s="280">
        <v>0.04028</v>
      </c>
      <c r="S8" s="281">
        <f t="shared" si="2"/>
        <v>26328.6</v>
      </c>
      <c r="T8" s="281">
        <f t="shared" si="3"/>
        <v>115434</v>
      </c>
      <c r="U8" s="283">
        <f t="shared" si="0"/>
        <v>85057.56</v>
      </c>
      <c r="V8" s="270"/>
      <c r="W8" s="270"/>
    </row>
    <row r="9" spans="1:23" s="271" customFormat="1" ht="21.75" customHeight="1">
      <c r="A9" s="264">
        <v>3000001</v>
      </c>
      <c r="B9" s="264">
        <v>5000000</v>
      </c>
      <c r="C9" s="264">
        <f t="shared" si="5"/>
        <v>2449.99981</v>
      </c>
      <c r="D9" s="287">
        <v>7E-05</v>
      </c>
      <c r="E9" s="284">
        <v>600</v>
      </c>
      <c r="F9" s="352" t="s">
        <v>591</v>
      </c>
      <c r="G9"/>
      <c r="H9" s="355"/>
      <c r="I9" s="356">
        <f>E9*100</f>
        <v>60000</v>
      </c>
      <c r="J9" s="281">
        <f>U9*0.7</f>
        <v>91995.37199999999</v>
      </c>
      <c r="K9" s="267"/>
      <c r="L9" s="285"/>
      <c r="M9" s="278">
        <f>1000001*1.8</f>
        <v>1800001.8</v>
      </c>
      <c r="N9" s="277">
        <f>2000000*1.8</f>
        <v>3600000</v>
      </c>
      <c r="O9" s="278">
        <f t="shared" si="1"/>
        <v>26328.6</v>
      </c>
      <c r="P9" s="285">
        <v>0.00689</v>
      </c>
      <c r="Q9" s="286">
        <f t="shared" si="4"/>
        <v>115434</v>
      </c>
      <c r="R9" s="280">
        <v>0.03604</v>
      </c>
      <c r="S9" s="281">
        <f t="shared" si="2"/>
        <v>38730.6</v>
      </c>
      <c r="T9" s="281">
        <f t="shared" si="3"/>
        <v>180306</v>
      </c>
      <c r="U9" s="283">
        <f t="shared" si="0"/>
        <v>131421.96</v>
      </c>
      <c r="V9" s="270"/>
      <c r="W9" s="270"/>
    </row>
    <row r="10" spans="1:23" s="271" customFormat="1" ht="21.75" customHeight="1">
      <c r="A10" s="324">
        <v>5000001</v>
      </c>
      <c r="B10" s="324">
        <v>7500000</v>
      </c>
      <c r="C10" s="319">
        <f t="shared" si="5"/>
        <v>2589.99981</v>
      </c>
      <c r="D10" s="320">
        <v>3E-05</v>
      </c>
      <c r="E10" s="295">
        <v>650</v>
      </c>
      <c r="F10" s="351" t="s">
        <v>591</v>
      </c>
      <c r="G10"/>
      <c r="H10" s="366"/>
      <c r="I10" s="367">
        <f>E10*230</f>
        <v>149500</v>
      </c>
      <c r="J10" s="281">
        <f aca="true" t="shared" si="6" ref="J10:J16">U10*0.7</f>
        <v>132048.25199999998</v>
      </c>
      <c r="K10" s="297"/>
      <c r="L10" s="285"/>
      <c r="M10" s="278">
        <f>2000001*1.8</f>
        <v>3600001.8000000003</v>
      </c>
      <c r="N10" s="277">
        <f>5000000*1.8</f>
        <v>9000000</v>
      </c>
      <c r="O10" s="278">
        <f t="shared" si="1"/>
        <v>38730.6</v>
      </c>
      <c r="P10" s="285">
        <v>0.00375</v>
      </c>
      <c r="Q10" s="286">
        <f t="shared" si="4"/>
        <v>180306</v>
      </c>
      <c r="R10" s="280">
        <v>0.01391</v>
      </c>
      <c r="S10" s="281">
        <f t="shared" si="2"/>
        <v>58980.6</v>
      </c>
      <c r="T10" s="281">
        <f t="shared" si="3"/>
        <v>255420</v>
      </c>
      <c r="U10" s="283">
        <f>(S10+T10)*0.6</f>
        <v>188640.36</v>
      </c>
      <c r="V10" s="270"/>
      <c r="W10" s="270"/>
    </row>
    <row r="11" spans="1:23" s="271" customFormat="1" ht="21.75" customHeight="1">
      <c r="A11" s="264">
        <f aca="true" t="shared" si="7" ref="A11:B16">M11</f>
        <v>9000001.8</v>
      </c>
      <c r="B11" s="264">
        <f t="shared" si="7"/>
        <v>18000000</v>
      </c>
      <c r="C11" s="264">
        <f t="shared" si="5"/>
        <v>2664.99981</v>
      </c>
      <c r="D11" s="287">
        <v>3E-05</v>
      </c>
      <c r="E11" s="264">
        <f>E10*230</f>
        <v>149500</v>
      </c>
      <c r="F11" s="359">
        <v>0.001</v>
      </c>
      <c r="G11" s="278"/>
      <c r="H11" s="263">
        <f aca="true" t="shared" si="8" ref="H11:H16">(B11-B10)*F11</f>
        <v>10500</v>
      </c>
      <c r="I11" s="315">
        <f aca="true" t="shared" si="9" ref="I11:I16">E11+H11</f>
        <v>160000</v>
      </c>
      <c r="J11" s="281">
        <f t="shared" si="6"/>
        <v>142737.21</v>
      </c>
      <c r="K11" s="297"/>
      <c r="L11" s="277"/>
      <c r="M11" s="278">
        <f>5000001*1.8</f>
        <v>9000001.8</v>
      </c>
      <c r="N11" s="314">
        <f>10000000*1.8</f>
        <v>18000000</v>
      </c>
      <c r="O11" s="278">
        <f t="shared" si="1"/>
        <v>58980.6</v>
      </c>
      <c r="P11" s="285">
        <v>0.00128</v>
      </c>
      <c r="Q11" s="286">
        <f t="shared" si="4"/>
        <v>255420</v>
      </c>
      <c r="R11" s="280">
        <v>0.0091</v>
      </c>
      <c r="S11" s="281">
        <f t="shared" si="2"/>
        <v>70500.6</v>
      </c>
      <c r="T11" s="281">
        <f t="shared" si="3"/>
        <v>337320</v>
      </c>
      <c r="U11" s="296">
        <f aca="true" t="shared" si="10" ref="U11:U16">(S11+T11)*0.5</f>
        <v>203910.3</v>
      </c>
      <c r="V11" s="270"/>
      <c r="W11" s="270"/>
    </row>
    <row r="12" spans="1:23" s="271" customFormat="1" ht="21.75" customHeight="1">
      <c r="A12" s="324">
        <f t="shared" si="7"/>
        <v>18000001.8</v>
      </c>
      <c r="B12" s="324">
        <f t="shared" si="7"/>
        <v>54000000</v>
      </c>
      <c r="C12" s="319">
        <f t="shared" si="5"/>
        <v>2979.99981</v>
      </c>
      <c r="D12" s="320">
        <v>1E-05</v>
      </c>
      <c r="E12" s="293">
        <f aca="true" t="shared" si="11" ref="E12:E17">I11</f>
        <v>160000</v>
      </c>
      <c r="F12" s="360">
        <v>0.0006</v>
      </c>
      <c r="G12" s="278"/>
      <c r="H12" s="357">
        <f t="shared" si="8"/>
        <v>21599.999999999996</v>
      </c>
      <c r="I12" s="317">
        <f t="shared" si="9"/>
        <v>181600</v>
      </c>
      <c r="J12" s="281">
        <f t="shared" si="6"/>
        <v>181167.21</v>
      </c>
      <c r="K12" s="297"/>
      <c r="L12" s="277"/>
      <c r="M12" s="278">
        <f>10000001*1.8</f>
        <v>18000001.8</v>
      </c>
      <c r="N12" s="314">
        <f>30000000*1.8</f>
        <v>54000000</v>
      </c>
      <c r="O12" s="278">
        <f t="shared" si="1"/>
        <v>70500.6</v>
      </c>
      <c r="P12" s="285">
        <v>0.00064</v>
      </c>
      <c r="Q12" s="286">
        <f t="shared" si="4"/>
        <v>337320</v>
      </c>
      <c r="R12" s="280">
        <v>0.00241</v>
      </c>
      <c r="S12" s="281">
        <f t="shared" si="2"/>
        <v>93540.6</v>
      </c>
      <c r="T12" s="281">
        <f t="shared" si="3"/>
        <v>424080</v>
      </c>
      <c r="U12" s="296">
        <f t="shared" si="10"/>
        <v>258810.3</v>
      </c>
      <c r="V12" s="270"/>
      <c r="W12" s="270"/>
    </row>
    <row r="13" spans="1:23" s="271" customFormat="1" ht="21.75" customHeight="1">
      <c r="A13" s="264">
        <f t="shared" si="7"/>
        <v>54000001.800000004</v>
      </c>
      <c r="B13" s="264">
        <f t="shared" si="7"/>
        <v>90000000</v>
      </c>
      <c r="C13" s="264">
        <f t="shared" si="5"/>
        <v>3339.99981</v>
      </c>
      <c r="D13" s="287">
        <v>1E-05</v>
      </c>
      <c r="E13" s="264">
        <f t="shared" si="11"/>
        <v>181600</v>
      </c>
      <c r="F13" s="359">
        <v>0.001</v>
      </c>
      <c r="G13" s="278"/>
      <c r="H13" s="263">
        <f t="shared" si="8"/>
        <v>36000</v>
      </c>
      <c r="I13" s="315">
        <f t="shared" si="9"/>
        <v>217600</v>
      </c>
      <c r="J13" s="281">
        <f t="shared" si="6"/>
        <v>217329.21</v>
      </c>
      <c r="K13" s="297"/>
      <c r="L13" s="277"/>
      <c r="M13" s="278">
        <f>30000001*1.8</f>
        <v>54000001.800000004</v>
      </c>
      <c r="N13" s="314">
        <f>50000000*1.8</f>
        <v>90000000</v>
      </c>
      <c r="O13" s="278">
        <f t="shared" si="1"/>
        <v>93540.6</v>
      </c>
      <c r="P13" s="285">
        <v>0.00059</v>
      </c>
      <c r="Q13" s="286">
        <f t="shared" si="4"/>
        <v>424080</v>
      </c>
      <c r="R13" s="280">
        <v>0.00228</v>
      </c>
      <c r="S13" s="281">
        <f t="shared" si="2"/>
        <v>114780.6</v>
      </c>
      <c r="T13" s="281">
        <f t="shared" si="3"/>
        <v>506160</v>
      </c>
      <c r="U13" s="296">
        <f t="shared" si="10"/>
        <v>310470.3</v>
      </c>
      <c r="V13" s="270"/>
      <c r="W13" s="270"/>
    </row>
    <row r="14" spans="1:23" s="271" customFormat="1" ht="21.75" customHeight="1">
      <c r="A14" s="324">
        <f t="shared" si="7"/>
        <v>90000001.8</v>
      </c>
      <c r="B14" s="324">
        <f t="shared" si="7"/>
        <v>144000000</v>
      </c>
      <c r="C14" s="319">
        <f t="shared" si="5"/>
        <v>3699.99981</v>
      </c>
      <c r="D14" s="320">
        <v>1E-05</v>
      </c>
      <c r="E14" s="293">
        <f t="shared" si="11"/>
        <v>217600</v>
      </c>
      <c r="F14" s="360">
        <v>0.00066</v>
      </c>
      <c r="G14" s="278"/>
      <c r="H14" s="357">
        <f t="shared" si="8"/>
        <v>35640</v>
      </c>
      <c r="I14" s="317">
        <f t="shared" si="9"/>
        <v>253240</v>
      </c>
      <c r="J14" s="281">
        <f t="shared" si="6"/>
        <v>253239.20999999996</v>
      </c>
      <c r="K14" s="297"/>
      <c r="L14" s="277"/>
      <c r="M14" s="278">
        <f>50000001*1.8</f>
        <v>90000001.8</v>
      </c>
      <c r="N14" s="314">
        <f>80000000*1.8</f>
        <v>144000000</v>
      </c>
      <c r="O14" s="278">
        <f t="shared" si="1"/>
        <v>114780.6</v>
      </c>
      <c r="P14" s="285">
        <v>0.00033</v>
      </c>
      <c r="Q14" s="286">
        <f t="shared" si="4"/>
        <v>506160</v>
      </c>
      <c r="R14" s="280">
        <v>0.00157</v>
      </c>
      <c r="S14" s="281">
        <f t="shared" si="2"/>
        <v>132600.6</v>
      </c>
      <c r="T14" s="281">
        <f t="shared" si="3"/>
        <v>590940</v>
      </c>
      <c r="U14" s="296">
        <f t="shared" si="10"/>
        <v>361770.3</v>
      </c>
      <c r="V14" s="270"/>
      <c r="W14" s="270"/>
    </row>
    <row r="15" spans="1:23" s="271" customFormat="1" ht="21.75" customHeight="1">
      <c r="A15" s="264">
        <f t="shared" si="7"/>
        <v>144000001.8</v>
      </c>
      <c r="B15" s="264">
        <f t="shared" si="7"/>
        <v>180000000</v>
      </c>
      <c r="C15" s="264">
        <f t="shared" si="5"/>
        <v>4239.999809999999</v>
      </c>
      <c r="D15" s="287">
        <v>1E-05</v>
      </c>
      <c r="E15" s="264">
        <f t="shared" si="11"/>
        <v>253240</v>
      </c>
      <c r="F15" s="359">
        <v>0.00049</v>
      </c>
      <c r="G15" s="278"/>
      <c r="H15" s="263">
        <f t="shared" si="8"/>
        <v>17640</v>
      </c>
      <c r="I15" s="315">
        <f t="shared" si="9"/>
        <v>270880</v>
      </c>
      <c r="J15" s="281">
        <f t="shared" si="6"/>
        <v>270375.20999999996</v>
      </c>
      <c r="K15" s="297"/>
      <c r="L15" s="277"/>
      <c r="M15" s="278">
        <f>80000001*1.8</f>
        <v>144000001.8</v>
      </c>
      <c r="N15" s="314">
        <f>100000000*1.8</f>
        <v>180000000</v>
      </c>
      <c r="O15" s="278">
        <f t="shared" si="1"/>
        <v>132600.6</v>
      </c>
      <c r="P15" s="285">
        <v>0.00021</v>
      </c>
      <c r="Q15" s="286">
        <f t="shared" si="4"/>
        <v>590940</v>
      </c>
      <c r="R15" s="280">
        <v>0.00115</v>
      </c>
      <c r="S15" s="281">
        <f t="shared" si="2"/>
        <v>140160.6</v>
      </c>
      <c r="T15" s="281">
        <f t="shared" si="3"/>
        <v>632340</v>
      </c>
      <c r="U15" s="296">
        <f t="shared" si="10"/>
        <v>386250.3</v>
      </c>
      <c r="V15" s="270"/>
      <c r="W15" s="270"/>
    </row>
    <row r="16" spans="1:23" s="271" customFormat="1" ht="21.75" customHeight="1">
      <c r="A16" s="324">
        <f t="shared" si="7"/>
        <v>180000001.8</v>
      </c>
      <c r="B16" s="324">
        <f t="shared" si="7"/>
        <v>900000000</v>
      </c>
      <c r="C16" s="319">
        <f t="shared" si="5"/>
        <v>4599.999809999999</v>
      </c>
      <c r="D16" s="320">
        <v>1E-05</v>
      </c>
      <c r="E16" s="293">
        <f t="shared" si="11"/>
        <v>270880</v>
      </c>
      <c r="F16" s="360">
        <v>0.00025</v>
      </c>
      <c r="G16" s="278"/>
      <c r="H16" s="357">
        <f t="shared" si="8"/>
        <v>180000</v>
      </c>
      <c r="I16" s="317">
        <f t="shared" si="9"/>
        <v>450880</v>
      </c>
      <c r="J16" s="281">
        <f t="shared" si="6"/>
        <v>444255.21</v>
      </c>
      <c r="K16" s="297"/>
      <c r="L16" s="277"/>
      <c r="M16" s="278">
        <f>100000001*1.8</f>
        <v>180000001.8</v>
      </c>
      <c r="N16" s="314">
        <f>500000000*1.8</f>
        <v>900000000</v>
      </c>
      <c r="O16" s="278">
        <f t="shared" si="1"/>
        <v>140160.6</v>
      </c>
      <c r="P16" s="285">
        <v>0.00011</v>
      </c>
      <c r="Q16" s="286">
        <f t="shared" si="4"/>
        <v>632340</v>
      </c>
      <c r="R16" s="280">
        <v>0.00058</v>
      </c>
      <c r="S16" s="281">
        <f>((N16-N15)*P16)+O16</f>
        <v>219360.6</v>
      </c>
      <c r="T16" s="281">
        <f t="shared" si="3"/>
        <v>1049940</v>
      </c>
      <c r="U16" s="296">
        <f t="shared" si="10"/>
        <v>634650.3</v>
      </c>
      <c r="V16" s="270"/>
      <c r="W16" s="270"/>
    </row>
    <row r="17" spans="1:23" s="271" customFormat="1" ht="21.75" customHeight="1">
      <c r="A17" s="264" t="s">
        <v>585</v>
      </c>
      <c r="B17" s="264">
        <v>0</v>
      </c>
      <c r="C17" s="264">
        <f t="shared" si="5"/>
        <v>11799.999810000001</v>
      </c>
      <c r="D17" s="287">
        <v>1E-05</v>
      </c>
      <c r="E17" s="264">
        <f t="shared" si="11"/>
        <v>450880</v>
      </c>
      <c r="F17" s="359">
        <v>0.00015</v>
      </c>
      <c r="G17" s="358"/>
      <c r="H17" s="265"/>
      <c r="I17" s="361"/>
      <c r="J17" s="281"/>
      <c r="K17" s="297"/>
      <c r="L17" s="285"/>
      <c r="M17" t="s">
        <v>537</v>
      </c>
      <c r="N17"/>
      <c r="O17">
        <f>S16</f>
        <v>219360.6</v>
      </c>
      <c r="P17">
        <v>0.0001</v>
      </c>
      <c r="Q17">
        <f>T16</f>
        <v>1049940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U18" s="363"/>
      <c r="V18" s="270"/>
      <c r="W18" s="270"/>
    </row>
    <row r="19" spans="7:9" ht="14.25" customHeight="1">
      <c r="G19" s="267"/>
      <c r="H19" s="291"/>
      <c r="I19" s="301"/>
    </row>
    <row r="20" spans="1:14" ht="22.5" customHeight="1">
      <c r="A20" s="652" t="s">
        <v>587</v>
      </c>
      <c r="B20" s="652"/>
      <c r="C20" s="652"/>
      <c r="D20" s="652"/>
      <c r="E20" s="652"/>
      <c r="H20" s="266" t="s">
        <v>534</v>
      </c>
      <c r="I20" s="266" t="s">
        <v>586</v>
      </c>
      <c r="K20" s="362"/>
      <c r="N20" s="301"/>
    </row>
    <row r="21" spans="1:10" ht="22.5" customHeight="1">
      <c r="A21" s="348" t="s">
        <v>554</v>
      </c>
      <c r="B21" s="368">
        <v>500000000</v>
      </c>
      <c r="C21" s="348"/>
      <c r="D21" s="348"/>
      <c r="E21" s="348"/>
      <c r="H21" s="326">
        <f>IF($B$21&gt;=B5+0.01,IF($B$21&lt;=B6,(E6*100),""),"")</f>
      </c>
      <c r="I21" s="326">
        <f>IF($B$21&gt;=A6+0.01,IF($B$21&lt;=B6,C6+(($B$21-A6)*D6),""),"")</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IF($B$21&gt;=B6+0.01,IF($B$21&lt;=B7,C7+(($B$21-B6)*D7),""),"")</f>
      </c>
      <c r="J22" s="269"/>
      <c r="K22" s="269"/>
      <c r="L22" s="269"/>
    </row>
    <row r="23" spans="1:12" s="271" customFormat="1" ht="22.5" customHeight="1">
      <c r="A23" s="348" t="s">
        <v>589</v>
      </c>
      <c r="B23" s="369">
        <f>SUM(H21:H25)</f>
        <v>0</v>
      </c>
      <c r="C23" s="369">
        <f>B23</f>
        <v>0</v>
      </c>
      <c r="D23" s="369">
        <f>B23</f>
        <v>0</v>
      </c>
      <c r="E23" s="369">
        <f>SUM(B23:D23)</f>
        <v>0</v>
      </c>
      <c r="H23" s="326">
        <f>IF($B$21&gt;=B7+0.01,IF($B$21&lt;=B8,(E8*100),""),"")</f>
      </c>
      <c r="I23" s="326">
        <f t="shared" si="12"/>
      </c>
      <c r="J23" s="269"/>
      <c r="K23" s="269"/>
      <c r="L23" s="298"/>
    </row>
    <row r="24" spans="1:12" s="271" customFormat="1" ht="22.5" customHeight="1">
      <c r="A24" s="348" t="s">
        <v>554</v>
      </c>
      <c r="B24" s="369">
        <f>SUM(H26:H32)</f>
        <v>350880</v>
      </c>
      <c r="C24" s="369">
        <f>B24*0.91</f>
        <v>319300.8</v>
      </c>
      <c r="D24" s="369">
        <f>(B24-C24)+B24</f>
        <v>382459.2</v>
      </c>
      <c r="E24" s="369">
        <f>SUM(B24:D24)</f>
        <v>1052640</v>
      </c>
      <c r="H24" s="326">
        <f>IF($B$21&gt;=B8+0.01,IF($B$21&lt;=B9,(E9*100),""),"")</f>
      </c>
      <c r="I24" s="326">
        <f t="shared" si="12"/>
      </c>
      <c r="J24" s="269"/>
      <c r="K24" s="269"/>
      <c r="L24" s="269"/>
    </row>
    <row r="25" spans="1:12" s="271" customFormat="1" ht="22.5" customHeight="1">
      <c r="A25" s="266" t="s">
        <v>586</v>
      </c>
      <c r="B25" s="369">
        <f>SUM(I21:I32)</f>
        <v>7799.999809999999</v>
      </c>
      <c r="C25" s="370">
        <v>15</v>
      </c>
      <c r="D25" s="371"/>
      <c r="E25" s="372">
        <f>B25*C25</f>
        <v>116999.99715</v>
      </c>
      <c r="H25" s="326">
        <f>IF($B$21&gt;=B9+0.01,IF($B$21&lt;=B10,(E10*100),""),"")</f>
      </c>
      <c r="I25" s="326">
        <f t="shared" si="12"/>
      </c>
      <c r="J25" s="269"/>
      <c r="K25" s="269"/>
      <c r="L25" s="269"/>
    </row>
    <row r="26" spans="8:12" s="271" customFormat="1" ht="21.75" customHeight="1">
      <c r="H26" s="325">
        <f aca="true" t="shared" si="13" ref="H26:H32">IF($B$21&gt;=B10+0.01,IF($B$21&lt;=B11,E11+(($B$21-B10)*F11),""),"")</f>
      </c>
      <c r="I26" s="325">
        <f t="shared" si="12"/>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v>350880</v>
      </c>
      <c r="I31" s="325">
        <f t="shared" si="12"/>
        <v>7799.999809999999</v>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653" t="s">
        <v>592</v>
      </c>
      <c r="B35" s="654"/>
      <c r="C35" s="654"/>
      <c r="D35" s="654"/>
      <c r="E35" s="654"/>
      <c r="F35" s="654"/>
      <c r="G35" s="655"/>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((500000-50000)*D6+C6)*15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C7*15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C10*15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C11*15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160000</v>
      </c>
      <c r="E41" s="341">
        <f t="shared" si="15"/>
        <v>-43911.20000000001</v>
      </c>
      <c r="F41" s="329">
        <f>57515*1.8</f>
        <v>103527</v>
      </c>
      <c r="G41" s="330">
        <f>C12*15</f>
        <v>44699.997149999996</v>
      </c>
      <c r="H41" s="267">
        <f t="shared" si="16"/>
        <v>-58827.002850000004</v>
      </c>
      <c r="I41" s="322">
        <f t="shared" si="14"/>
        <v>0.7846552813185347</v>
      </c>
      <c r="J41" s="269"/>
      <c r="K41" s="269"/>
      <c r="L41" s="269"/>
      <c r="M41" s="270"/>
      <c r="N41" s="270"/>
    </row>
    <row r="42" spans="1:14" s="271" customFormat="1" ht="21.75" customHeight="1">
      <c r="A42" s="344">
        <v>30000000</v>
      </c>
      <c r="B42" s="344">
        <v>30000000</v>
      </c>
      <c r="C42" s="335">
        <f>143784*1.8</f>
        <v>258811.2</v>
      </c>
      <c r="D42" s="336">
        <f>I12</f>
        <v>181600</v>
      </c>
      <c r="E42" s="341">
        <f t="shared" si="15"/>
        <v>-77211.20000000001</v>
      </c>
      <c r="F42" s="329">
        <f>77515*1.8</f>
        <v>139527</v>
      </c>
      <c r="G42" s="330">
        <f>C13*15</f>
        <v>50099.997149999996</v>
      </c>
      <c r="H42" s="267">
        <f t="shared" si="16"/>
        <v>-89427.00285</v>
      </c>
      <c r="I42" s="322">
        <f t="shared" si="14"/>
        <v>0.7016697886335677</v>
      </c>
      <c r="J42" s="269"/>
      <c r="K42" s="269"/>
      <c r="L42" s="269"/>
      <c r="M42" s="270"/>
      <c r="N42" s="270"/>
    </row>
    <row r="43" spans="1:14" s="271" customFormat="1" ht="21.75" customHeight="1">
      <c r="A43" s="344">
        <v>50000000</v>
      </c>
      <c r="B43" s="344">
        <v>50000000</v>
      </c>
      <c r="C43" s="335">
        <f>172484*1.8</f>
        <v>310471.2</v>
      </c>
      <c r="D43" s="336">
        <f>I13</f>
        <v>217600</v>
      </c>
      <c r="E43" s="341">
        <f t="shared" si="15"/>
        <v>-92871.20000000001</v>
      </c>
      <c r="F43" s="329">
        <f>95515*1.8</f>
        <v>171927</v>
      </c>
      <c r="G43" s="330">
        <f>C14*15</f>
        <v>55499.997149999996</v>
      </c>
      <c r="H43" s="267">
        <f t="shared" si="16"/>
        <v>-116427.00285</v>
      </c>
      <c r="I43" s="322">
        <f t="shared" si="14"/>
        <v>0.7008701612259043</v>
      </c>
      <c r="J43" s="269"/>
      <c r="K43" s="269"/>
      <c r="L43" s="269"/>
      <c r="M43" s="270"/>
      <c r="N43" s="270"/>
    </row>
    <row r="44" spans="1:14" s="271" customFormat="1" ht="21.75" customHeight="1">
      <c r="A44" s="265">
        <v>100000000</v>
      </c>
      <c r="B44" s="265">
        <v>100000000</v>
      </c>
      <c r="C44" s="337">
        <f>214584*1.8</f>
        <v>386251.2</v>
      </c>
      <c r="D44" s="338">
        <f>I15</f>
        <v>270880</v>
      </c>
      <c r="E44" s="346">
        <f t="shared" si="15"/>
        <v>-115371.20000000001</v>
      </c>
      <c r="F44" s="331">
        <f>99215*1.8</f>
        <v>178587</v>
      </c>
      <c r="G44" s="332">
        <f>C16*15</f>
        <v>68999.99715</v>
      </c>
      <c r="H44" s="267">
        <f t="shared" si="16"/>
        <v>-109587.00285</v>
      </c>
      <c r="I44" s="322">
        <f t="shared" si="14"/>
        <v>0.7013052645532234</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3.xml><?xml version="1.0" encoding="utf-8"?>
<worksheet xmlns="http://schemas.openxmlformats.org/spreadsheetml/2006/main" xmlns:r="http://schemas.openxmlformats.org/officeDocument/2006/relationships">
  <dimension ref="A1:X54"/>
  <sheetViews>
    <sheetView workbookViewId="0" topLeftCell="A1">
      <selection activeCell="E12" sqref="E12"/>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10.00390625" style="269"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56" t="s">
        <v>561</v>
      </c>
      <c r="B1" s="657"/>
      <c r="C1" s="657"/>
      <c r="D1" s="657"/>
      <c r="E1" s="657"/>
      <c r="F1" s="657"/>
    </row>
    <row r="2" spans="1:6" ht="40.5" customHeight="1">
      <c r="A2" s="658" t="s">
        <v>560</v>
      </c>
      <c r="B2" s="659"/>
      <c r="C2" s="659"/>
      <c r="D2" s="659"/>
      <c r="E2" s="659"/>
      <c r="F2" s="659"/>
    </row>
    <row r="3" spans="1:24" s="271" customFormat="1" ht="21.75" customHeight="1">
      <c r="A3" s="323"/>
      <c r="B3" s="323"/>
      <c r="C3" s="660" t="s">
        <v>542</v>
      </c>
      <c r="D3" s="661"/>
      <c r="E3" s="662" t="s">
        <v>558</v>
      </c>
      <c r="F3" s="663"/>
      <c r="G3"/>
      <c r="H3" s="267"/>
      <c r="I3" s="268"/>
      <c r="J3" s="281" t="s">
        <v>593</v>
      </c>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64" t="s">
        <v>559</v>
      </c>
      <c r="B4" s="664"/>
      <c r="C4" s="665" t="s">
        <v>543</v>
      </c>
      <c r="D4" s="665"/>
      <c r="E4" s="666" t="s">
        <v>543</v>
      </c>
      <c r="F4" s="666"/>
      <c r="G4"/>
      <c r="H4" s="267"/>
      <c r="I4" s="268"/>
      <c r="J4" s="281">
        <f aca="true" t="shared" si="0" ref="J4:J9">U4*0.7</f>
        <v>9079.56</v>
      </c>
      <c r="K4" s="269"/>
      <c r="L4" s="269"/>
      <c r="M4" s="276"/>
      <c r="N4" s="277">
        <f>50000*1.8</f>
        <v>90000</v>
      </c>
      <c r="O4" s="278">
        <f>3000*1.8</f>
        <v>5400</v>
      </c>
      <c r="P4" s="279">
        <v>0.06</v>
      </c>
      <c r="Q4" s="263">
        <f>R4*N4</f>
        <v>16218</v>
      </c>
      <c r="R4" s="280">
        <f>18.02%</f>
        <v>0.1802</v>
      </c>
      <c r="S4" s="281">
        <f>(N4)*P4</f>
        <v>5400</v>
      </c>
      <c r="T4" s="282">
        <f>R4*N4</f>
        <v>16218</v>
      </c>
      <c r="U4" s="283">
        <f aca="true" t="shared" si="1" ref="U4:U9">(S4+T4)*0.6</f>
        <v>12970.8</v>
      </c>
      <c r="V4" s="270"/>
      <c r="X4" s="270"/>
    </row>
    <row r="5" spans="1:23" s="271" customFormat="1" ht="21.75" customHeight="1">
      <c r="A5" s="266"/>
      <c r="B5" s="264"/>
      <c r="C5" s="264"/>
      <c r="D5" s="275"/>
      <c r="E5" s="264"/>
      <c r="F5" s="275"/>
      <c r="G5"/>
      <c r="H5"/>
      <c r="I5" s="268"/>
      <c r="J5" s="281">
        <f t="shared" si="0"/>
        <v>15209.963999999996</v>
      </c>
      <c r="K5" s="267"/>
      <c r="L5" s="269"/>
      <c r="M5" s="278">
        <f>50001*1.8</f>
        <v>90001.8</v>
      </c>
      <c r="N5" s="277">
        <f>100000*1.8</f>
        <v>180000</v>
      </c>
      <c r="O5" s="278">
        <f>3000*1.8</f>
        <v>5400</v>
      </c>
      <c r="P5" s="285">
        <v>0.0265</v>
      </c>
      <c r="Q5" s="286">
        <f>T4</f>
        <v>16218</v>
      </c>
      <c r="R5" s="280">
        <v>0.13568</v>
      </c>
      <c r="S5" s="281">
        <f>((N5-N4)*P5)+O5</f>
        <v>7785</v>
      </c>
      <c r="T5" s="281">
        <f>((N5-N4)*R5)+Q5</f>
        <v>28429.199999999997</v>
      </c>
      <c r="U5" s="283">
        <f t="shared" si="1"/>
        <v>21728.519999999997</v>
      </c>
      <c r="V5" s="270"/>
      <c r="W5" s="270"/>
    </row>
    <row r="6" spans="1:23" s="271" customFormat="1" ht="21.75" customHeight="1">
      <c r="A6" s="324">
        <v>1</v>
      </c>
      <c r="B6" s="324">
        <v>1000000</v>
      </c>
      <c r="C6" s="319">
        <v>2000</v>
      </c>
      <c r="D6" s="321">
        <v>0.00019</v>
      </c>
      <c r="E6" s="292">
        <f>250*1.8</f>
        <v>450</v>
      </c>
      <c r="F6" s="351" t="s">
        <v>591</v>
      </c>
      <c r="G6"/>
      <c r="H6" s="364"/>
      <c r="I6" s="365">
        <f>E6*100</f>
        <v>45000</v>
      </c>
      <c r="J6" s="281">
        <f t="shared" si="0"/>
        <v>22101.66</v>
      </c>
      <c r="K6" s="267"/>
      <c r="L6" s="279"/>
      <c r="M6" s="278">
        <f>100001*1.8</f>
        <v>180001.80000000002</v>
      </c>
      <c r="N6" s="277">
        <f>200000*1.8</f>
        <v>360000</v>
      </c>
      <c r="O6" s="278">
        <f aca="true" t="shared" si="2" ref="O6:O16">S5</f>
        <v>7785</v>
      </c>
      <c r="P6" s="285">
        <v>0.01431</v>
      </c>
      <c r="Q6" s="286">
        <f>T5</f>
        <v>28429.199999999997</v>
      </c>
      <c r="R6" s="280">
        <v>0.07685</v>
      </c>
      <c r="S6" s="281">
        <f aca="true" t="shared" si="3" ref="S6:S15">((N6-N5)*P6)+O6</f>
        <v>10360.8</v>
      </c>
      <c r="T6" s="281">
        <f aca="true" t="shared" si="4" ref="T6:T16">((N6-N5)*R6)+Q6</f>
        <v>42262.2</v>
      </c>
      <c r="U6" s="283">
        <f t="shared" si="1"/>
        <v>31573.8</v>
      </c>
      <c r="V6" s="270"/>
      <c r="W6" s="270"/>
    </row>
    <row r="7" spans="1:23" s="271" customFormat="1" ht="21.75" customHeight="1">
      <c r="A7" s="264">
        <v>1000001</v>
      </c>
      <c r="B7" s="264">
        <v>2000000</v>
      </c>
      <c r="C7" s="264">
        <f>C6+(B6-A6)*D6</f>
        <v>2189.99981</v>
      </c>
      <c r="D7" s="287">
        <v>0.00016</v>
      </c>
      <c r="E7" s="284">
        <v>500</v>
      </c>
      <c r="F7" s="352" t="s">
        <v>591</v>
      </c>
      <c r="G7"/>
      <c r="H7" s="355"/>
      <c r="I7" s="356">
        <f>E7*100</f>
        <v>50000</v>
      </c>
      <c r="J7" s="281">
        <f t="shared" si="0"/>
        <v>40708.332</v>
      </c>
      <c r="K7" s="267"/>
      <c r="L7" s="285"/>
      <c r="M7" s="278">
        <f>200001*1.8</f>
        <v>360001.8</v>
      </c>
      <c r="N7" s="277">
        <f>500000*1.8</f>
        <v>900000</v>
      </c>
      <c r="O7" s="278">
        <f t="shared" si="2"/>
        <v>10360.8</v>
      </c>
      <c r="P7" s="285">
        <v>0.01367</v>
      </c>
      <c r="Q7" s="286">
        <f aca="true" t="shared" si="5" ref="Q7:Q16">T6</f>
        <v>42262.2</v>
      </c>
      <c r="R7" s="280">
        <v>0.06837</v>
      </c>
      <c r="S7" s="281">
        <f t="shared" si="3"/>
        <v>17742.6</v>
      </c>
      <c r="T7" s="281">
        <f t="shared" si="4"/>
        <v>79182</v>
      </c>
      <c r="U7" s="283">
        <f t="shared" si="1"/>
        <v>58154.76</v>
      </c>
      <c r="V7" s="270"/>
      <c r="W7" s="270"/>
    </row>
    <row r="8" spans="1:23" s="271" customFormat="1" ht="21.75" customHeight="1">
      <c r="A8" s="324">
        <v>2000001</v>
      </c>
      <c r="B8" s="324">
        <v>3000000</v>
      </c>
      <c r="C8" s="319">
        <f aca="true" t="shared" si="6" ref="C8:C17">C7+(B7-B6)*D7</f>
        <v>2349.99981</v>
      </c>
      <c r="D8" s="320">
        <v>0.0001</v>
      </c>
      <c r="E8" s="292">
        <v>550</v>
      </c>
      <c r="F8" s="351" t="s">
        <v>591</v>
      </c>
      <c r="G8"/>
      <c r="H8" s="366"/>
      <c r="I8" s="367">
        <f>E8*100</f>
        <v>55000</v>
      </c>
      <c r="J8" s="281">
        <f t="shared" si="0"/>
        <v>59540.291999999994</v>
      </c>
      <c r="K8" s="267"/>
      <c r="L8" s="285"/>
      <c r="M8" s="278">
        <f>500001*1.8</f>
        <v>900001.8</v>
      </c>
      <c r="N8" s="277">
        <f>1000000*1.8</f>
        <v>1800000</v>
      </c>
      <c r="O8" s="278">
        <f t="shared" si="2"/>
        <v>17742.6</v>
      </c>
      <c r="P8" s="285">
        <v>0.00954</v>
      </c>
      <c r="Q8" s="286">
        <f t="shared" si="5"/>
        <v>79182</v>
      </c>
      <c r="R8" s="280">
        <v>0.04028</v>
      </c>
      <c r="S8" s="281">
        <f t="shared" si="3"/>
        <v>26328.6</v>
      </c>
      <c r="T8" s="281">
        <f t="shared" si="4"/>
        <v>115434</v>
      </c>
      <c r="U8" s="283">
        <f t="shared" si="1"/>
        <v>85057.56</v>
      </c>
      <c r="V8" s="270"/>
      <c r="W8" s="270"/>
    </row>
    <row r="9" spans="1:23" s="271" customFormat="1" ht="21.75" customHeight="1">
      <c r="A9" s="264">
        <v>3000001</v>
      </c>
      <c r="B9" s="264">
        <v>5000000</v>
      </c>
      <c r="C9" s="264">
        <f t="shared" si="6"/>
        <v>2449.99981</v>
      </c>
      <c r="D9" s="287">
        <v>7E-05</v>
      </c>
      <c r="E9" s="284">
        <v>600</v>
      </c>
      <c r="F9" s="352" t="s">
        <v>591</v>
      </c>
      <c r="G9"/>
      <c r="H9" s="355"/>
      <c r="I9" s="356">
        <f>E9*100</f>
        <v>60000</v>
      </c>
      <c r="J9" s="281">
        <f t="shared" si="0"/>
        <v>91995.37199999999</v>
      </c>
      <c r="K9" s="267"/>
      <c r="L9" s="285"/>
      <c r="M9" s="278">
        <f>1000001*1.8</f>
        <v>1800001.8</v>
      </c>
      <c r="N9" s="277">
        <f>2000000*1.8</f>
        <v>3600000</v>
      </c>
      <c r="O9" s="278">
        <f t="shared" si="2"/>
        <v>26328.6</v>
      </c>
      <c r="P9" s="285">
        <v>0.00689</v>
      </c>
      <c r="Q9" s="286">
        <f t="shared" si="5"/>
        <v>115434</v>
      </c>
      <c r="R9" s="280">
        <v>0.03604</v>
      </c>
      <c r="S9" s="281">
        <f t="shared" si="3"/>
        <v>38730.6</v>
      </c>
      <c r="T9" s="281">
        <f t="shared" si="4"/>
        <v>180306</v>
      </c>
      <c r="U9" s="283">
        <f t="shared" si="1"/>
        <v>131421.96</v>
      </c>
      <c r="V9" s="270"/>
      <c r="W9" s="270"/>
    </row>
    <row r="10" spans="1:23" s="271" customFormat="1" ht="21.75" customHeight="1">
      <c r="A10" s="324">
        <v>5000001</v>
      </c>
      <c r="B10" s="324">
        <v>7500000</v>
      </c>
      <c r="C10" s="319">
        <f t="shared" si="6"/>
        <v>2589.99981</v>
      </c>
      <c r="D10" s="320">
        <v>3E-05</v>
      </c>
      <c r="E10" s="295">
        <v>650</v>
      </c>
      <c r="F10" s="351" t="s">
        <v>591</v>
      </c>
      <c r="G10"/>
      <c r="H10" s="366"/>
      <c r="I10" s="367">
        <f>E10*230</f>
        <v>149500</v>
      </c>
      <c r="J10" s="281">
        <f aca="true" t="shared" si="7" ref="J10:J16">U10*0.7</f>
        <v>132048.25199999998</v>
      </c>
      <c r="K10" s="297"/>
      <c r="L10" s="285"/>
      <c r="M10" s="278">
        <f>2000001*1.8</f>
        <v>3600001.8000000003</v>
      </c>
      <c r="N10" s="277">
        <f>5000000*1.8</f>
        <v>9000000</v>
      </c>
      <c r="O10" s="278">
        <f t="shared" si="2"/>
        <v>38730.6</v>
      </c>
      <c r="P10" s="285">
        <v>0.00375</v>
      </c>
      <c r="Q10" s="286">
        <f t="shared" si="5"/>
        <v>180306</v>
      </c>
      <c r="R10" s="280">
        <v>0.01391</v>
      </c>
      <c r="S10" s="281">
        <f t="shared" si="3"/>
        <v>58980.6</v>
      </c>
      <c r="T10" s="281">
        <f t="shared" si="4"/>
        <v>255420</v>
      </c>
      <c r="U10" s="283">
        <f>(S10+T10)*0.6</f>
        <v>188640.36</v>
      </c>
      <c r="V10" s="270"/>
      <c r="W10" s="270"/>
    </row>
    <row r="11" spans="1:23" s="271" customFormat="1" ht="21.75" customHeight="1">
      <c r="A11" s="264">
        <v>7500001</v>
      </c>
      <c r="B11" s="264">
        <v>10000000</v>
      </c>
      <c r="C11" s="264">
        <f t="shared" si="6"/>
        <v>2664.99981</v>
      </c>
      <c r="D11" s="287">
        <v>3E-05</v>
      </c>
      <c r="E11" s="264">
        <f>E10*230</f>
        <v>149500</v>
      </c>
      <c r="F11" s="359">
        <v>0.0039</v>
      </c>
      <c r="G11"/>
      <c r="H11" s="263">
        <f aca="true" t="shared" si="8" ref="H11:H16">(B11-B10)*F11</f>
        <v>9750</v>
      </c>
      <c r="I11" s="315">
        <f aca="true" t="shared" si="9" ref="I11:I16">E11+H11</f>
        <v>159250</v>
      </c>
      <c r="J11" s="281">
        <f t="shared" si="7"/>
        <v>142737.21</v>
      </c>
      <c r="K11" s="297"/>
      <c r="L11" s="277"/>
      <c r="M11" s="278">
        <f>5000001*1.8</f>
        <v>9000001.8</v>
      </c>
      <c r="N11" s="314">
        <f>10000000*1.8</f>
        <v>18000000</v>
      </c>
      <c r="O11" s="278">
        <f t="shared" si="2"/>
        <v>58980.6</v>
      </c>
      <c r="P11" s="285">
        <v>0.00128</v>
      </c>
      <c r="Q11" s="286">
        <f t="shared" si="5"/>
        <v>255420</v>
      </c>
      <c r="R11" s="280">
        <v>0.0091</v>
      </c>
      <c r="S11" s="281">
        <f t="shared" si="3"/>
        <v>70500.6</v>
      </c>
      <c r="T11" s="281">
        <f t="shared" si="4"/>
        <v>337320</v>
      </c>
      <c r="U11" s="296">
        <f aca="true" t="shared" si="10" ref="U11:U16">(S11+T11)*0.5</f>
        <v>203910.3</v>
      </c>
      <c r="V11" s="270"/>
      <c r="W11" s="270"/>
    </row>
    <row r="12" spans="1:23" s="271" customFormat="1" ht="21.75" customHeight="1">
      <c r="A12" s="324">
        <v>10000001</v>
      </c>
      <c r="B12" s="324">
        <v>30000000</v>
      </c>
      <c r="C12" s="319">
        <f t="shared" si="6"/>
        <v>2739.99981</v>
      </c>
      <c r="D12" s="320">
        <v>1E-05</v>
      </c>
      <c r="E12" s="293">
        <f aca="true" t="shared" si="11" ref="E12:E17">I11</f>
        <v>159250</v>
      </c>
      <c r="F12" s="360">
        <v>0.00111</v>
      </c>
      <c r="G12"/>
      <c r="H12" s="357">
        <f t="shared" si="8"/>
        <v>22200.000000000004</v>
      </c>
      <c r="I12" s="317">
        <f t="shared" si="9"/>
        <v>181450</v>
      </c>
      <c r="J12" s="281">
        <f t="shared" si="7"/>
        <v>181167.21</v>
      </c>
      <c r="K12" s="297"/>
      <c r="L12" s="277"/>
      <c r="M12" s="278">
        <f>10000001*1.8</f>
        <v>18000001.8</v>
      </c>
      <c r="N12" s="314">
        <f>30000000*1.8</f>
        <v>54000000</v>
      </c>
      <c r="O12" s="278">
        <f t="shared" si="2"/>
        <v>70500.6</v>
      </c>
      <c r="P12" s="285">
        <v>0.00064</v>
      </c>
      <c r="Q12" s="286">
        <f t="shared" si="5"/>
        <v>337320</v>
      </c>
      <c r="R12" s="280">
        <v>0.00241</v>
      </c>
      <c r="S12" s="281">
        <f t="shared" si="3"/>
        <v>93540.6</v>
      </c>
      <c r="T12" s="281">
        <f t="shared" si="4"/>
        <v>424080</v>
      </c>
      <c r="U12" s="296">
        <f t="shared" si="10"/>
        <v>258810.3</v>
      </c>
      <c r="V12" s="270"/>
      <c r="W12" s="270"/>
    </row>
    <row r="13" spans="1:23" s="271" customFormat="1" ht="21.75" customHeight="1">
      <c r="A13" s="264">
        <v>30000001</v>
      </c>
      <c r="B13" s="264">
        <v>50000000</v>
      </c>
      <c r="C13" s="264">
        <f t="shared" si="6"/>
        <v>2939.99981</v>
      </c>
      <c r="D13" s="287">
        <v>1E-05</v>
      </c>
      <c r="E13" s="264">
        <f t="shared" si="11"/>
        <v>181450</v>
      </c>
      <c r="F13" s="359">
        <v>0.00178</v>
      </c>
      <c r="G13"/>
      <c r="H13" s="263">
        <f t="shared" si="8"/>
        <v>35600</v>
      </c>
      <c r="I13" s="315">
        <f t="shared" si="9"/>
        <v>217050</v>
      </c>
      <c r="J13" s="281">
        <f t="shared" si="7"/>
        <v>217329.21</v>
      </c>
      <c r="K13" s="297"/>
      <c r="L13" s="277"/>
      <c r="M13" s="278">
        <f>30000001*1.8</f>
        <v>54000001.800000004</v>
      </c>
      <c r="N13" s="314">
        <f>50000000*1.8</f>
        <v>90000000</v>
      </c>
      <c r="O13" s="278">
        <f t="shared" si="2"/>
        <v>93540.6</v>
      </c>
      <c r="P13" s="285">
        <v>0.00059</v>
      </c>
      <c r="Q13" s="286">
        <f t="shared" si="5"/>
        <v>424080</v>
      </c>
      <c r="R13" s="280">
        <v>0.00228</v>
      </c>
      <c r="S13" s="281">
        <f t="shared" si="3"/>
        <v>114780.6</v>
      </c>
      <c r="T13" s="281">
        <f t="shared" si="4"/>
        <v>506160</v>
      </c>
      <c r="U13" s="296">
        <f t="shared" si="10"/>
        <v>310470.3</v>
      </c>
      <c r="V13" s="270"/>
      <c r="W13" s="270"/>
    </row>
    <row r="14" spans="1:23" s="271" customFormat="1" ht="21.75" customHeight="1">
      <c r="A14" s="324">
        <v>50000001</v>
      </c>
      <c r="B14" s="324">
        <v>80000000</v>
      </c>
      <c r="C14" s="319">
        <f t="shared" si="6"/>
        <v>3139.99981</v>
      </c>
      <c r="D14" s="320">
        <v>1E-05</v>
      </c>
      <c r="E14" s="293">
        <f t="shared" si="11"/>
        <v>217050</v>
      </c>
      <c r="F14" s="360">
        <v>0.0012</v>
      </c>
      <c r="G14"/>
      <c r="H14" s="357">
        <f t="shared" si="8"/>
        <v>36000</v>
      </c>
      <c r="I14" s="317">
        <f t="shared" si="9"/>
        <v>253050</v>
      </c>
      <c r="J14" s="281">
        <f t="shared" si="7"/>
        <v>253239.20999999996</v>
      </c>
      <c r="K14" s="297"/>
      <c r="L14" s="277"/>
      <c r="M14" s="278">
        <f>50000001*1.8</f>
        <v>90000001.8</v>
      </c>
      <c r="N14" s="314">
        <f>80000000*1.8</f>
        <v>144000000</v>
      </c>
      <c r="O14" s="278">
        <f t="shared" si="2"/>
        <v>114780.6</v>
      </c>
      <c r="P14" s="285">
        <v>0.00033</v>
      </c>
      <c r="Q14" s="286">
        <f t="shared" si="5"/>
        <v>506160</v>
      </c>
      <c r="R14" s="280">
        <v>0.00157</v>
      </c>
      <c r="S14" s="281">
        <f t="shared" si="3"/>
        <v>132600.6</v>
      </c>
      <c r="T14" s="281">
        <f t="shared" si="4"/>
        <v>590940</v>
      </c>
      <c r="U14" s="296">
        <f t="shared" si="10"/>
        <v>361770.3</v>
      </c>
      <c r="V14" s="270"/>
      <c r="W14" s="270"/>
    </row>
    <row r="15" spans="1:23" s="271" customFormat="1" ht="21.75" customHeight="1">
      <c r="A15" s="264">
        <v>80000001</v>
      </c>
      <c r="B15" s="264">
        <v>100000000</v>
      </c>
      <c r="C15" s="264">
        <f t="shared" si="6"/>
        <v>3439.99981</v>
      </c>
      <c r="D15" s="287">
        <v>1E-05</v>
      </c>
      <c r="E15" s="264">
        <f t="shared" si="11"/>
        <v>253050</v>
      </c>
      <c r="F15" s="359">
        <v>0.00087</v>
      </c>
      <c r="G15"/>
      <c r="H15" s="263">
        <f t="shared" si="8"/>
        <v>17400</v>
      </c>
      <c r="I15" s="315">
        <f t="shared" si="9"/>
        <v>270450</v>
      </c>
      <c r="J15" s="281">
        <f t="shared" si="7"/>
        <v>270375.20999999996</v>
      </c>
      <c r="K15" s="297"/>
      <c r="L15" s="277"/>
      <c r="M15" s="278">
        <f>80000001*1.8</f>
        <v>144000001.8</v>
      </c>
      <c r="N15" s="314">
        <f>100000000*1.8</f>
        <v>180000000</v>
      </c>
      <c r="O15" s="278">
        <f t="shared" si="2"/>
        <v>132600.6</v>
      </c>
      <c r="P15" s="285">
        <v>0.00021</v>
      </c>
      <c r="Q15" s="286">
        <f t="shared" si="5"/>
        <v>590940</v>
      </c>
      <c r="R15" s="280">
        <v>0.00115</v>
      </c>
      <c r="S15" s="281">
        <f t="shared" si="3"/>
        <v>140160.6</v>
      </c>
      <c r="T15" s="281">
        <f t="shared" si="4"/>
        <v>632340</v>
      </c>
      <c r="U15" s="296">
        <f t="shared" si="10"/>
        <v>386250.3</v>
      </c>
      <c r="V15" s="270"/>
      <c r="W15" s="270"/>
    </row>
    <row r="16" spans="1:23" s="271" customFormat="1" ht="21.75" customHeight="1">
      <c r="A16" s="324">
        <v>100000001</v>
      </c>
      <c r="B16" s="324">
        <v>500000000</v>
      </c>
      <c r="C16" s="319">
        <f t="shared" si="6"/>
        <v>3639.99981</v>
      </c>
      <c r="D16" s="320">
        <v>1E-05</v>
      </c>
      <c r="E16" s="293">
        <f t="shared" si="11"/>
        <v>270450</v>
      </c>
      <c r="F16" s="360">
        <v>0.000435</v>
      </c>
      <c r="G16"/>
      <c r="H16" s="357">
        <f t="shared" si="8"/>
        <v>174000</v>
      </c>
      <c r="I16" s="317">
        <f t="shared" si="9"/>
        <v>444450</v>
      </c>
      <c r="J16" s="281">
        <f t="shared" si="7"/>
        <v>444255.21</v>
      </c>
      <c r="K16" s="297"/>
      <c r="L16" s="277"/>
      <c r="M16" s="278">
        <f>100000001*1.8</f>
        <v>180000001.8</v>
      </c>
      <c r="N16" s="314">
        <f>500000000*1.8</f>
        <v>900000000</v>
      </c>
      <c r="O16" s="278">
        <f t="shared" si="2"/>
        <v>140160.6</v>
      </c>
      <c r="P16" s="285">
        <v>0.00011</v>
      </c>
      <c r="Q16" s="286">
        <f t="shared" si="5"/>
        <v>632340</v>
      </c>
      <c r="R16" s="280">
        <v>0.00058</v>
      </c>
      <c r="S16" s="281">
        <f>((N16-N15)*P16)+O16</f>
        <v>219360.6</v>
      </c>
      <c r="T16" s="281">
        <f t="shared" si="4"/>
        <v>1049940</v>
      </c>
      <c r="U16" s="296">
        <f t="shared" si="10"/>
        <v>634650.3</v>
      </c>
      <c r="V16" s="270"/>
      <c r="W16" s="270"/>
    </row>
    <row r="17" spans="1:23" s="271" customFormat="1" ht="21.75" customHeight="1">
      <c r="A17" s="264" t="s">
        <v>585</v>
      </c>
      <c r="B17" s="264">
        <v>0</v>
      </c>
      <c r="C17" s="264">
        <f t="shared" si="6"/>
        <v>7639.99981</v>
      </c>
      <c r="D17" s="287">
        <v>1E-05</v>
      </c>
      <c r="E17" s="264">
        <f t="shared" si="11"/>
        <v>444450</v>
      </c>
      <c r="F17" s="359">
        <v>0.00022</v>
      </c>
      <c r="G17"/>
      <c r="H17" s="265"/>
      <c r="I17" s="361"/>
      <c r="J17" s="281"/>
      <c r="K17" s="297"/>
      <c r="L17" s="285"/>
      <c r="M17" t="s">
        <v>537</v>
      </c>
      <c r="N17"/>
      <c r="O17">
        <f>S16</f>
        <v>219360.6</v>
      </c>
      <c r="P17">
        <v>0.0001</v>
      </c>
      <c r="Q17">
        <f>T16</f>
        <v>1049940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U18" s="363"/>
      <c r="V18" s="270"/>
      <c r="W18" s="270"/>
    </row>
    <row r="19" spans="7:9" ht="14.25" customHeight="1">
      <c r="G19" s="267"/>
      <c r="H19" s="291"/>
      <c r="I19" s="301"/>
    </row>
    <row r="20" spans="1:14" ht="22.5" customHeight="1">
      <c r="A20" s="652" t="s">
        <v>587</v>
      </c>
      <c r="B20" s="652"/>
      <c r="C20" s="652"/>
      <c r="D20" s="652"/>
      <c r="E20" s="652"/>
      <c r="H20" s="266" t="s">
        <v>534</v>
      </c>
      <c r="I20" s="266" t="s">
        <v>586</v>
      </c>
      <c r="K20" s="362"/>
      <c r="N20" s="301"/>
    </row>
    <row r="21" spans="1:10" ht="22.5" customHeight="1">
      <c r="A21" s="348" t="s">
        <v>554</v>
      </c>
      <c r="B21" s="349">
        <v>8000000</v>
      </c>
      <c r="C21" s="348"/>
      <c r="D21" s="348"/>
      <c r="E21" s="348"/>
      <c r="H21" s="326">
        <f>IF($B$21&gt;=B5+0.01,IF($B$21&lt;=B6,(E6*100),""),"")</f>
      </c>
      <c r="I21" s="326">
        <f>IF($B$21&gt;=A6+0.01,IF($B$21&lt;=B6,C6+(($B$21-A6)*D6),""),"")</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IF($B$21&gt;=B6+0.01,IF($B$21&lt;=B7,C7+(($B$21-B6)*D7),""),"")</f>
      </c>
      <c r="J22" s="269"/>
      <c r="K22" s="269"/>
      <c r="L22" s="269"/>
    </row>
    <row r="23" spans="1:12" s="271" customFormat="1" ht="22.5" customHeight="1">
      <c r="A23" s="348" t="s">
        <v>589</v>
      </c>
      <c r="B23" s="348">
        <f>SUM(H21:H25)</f>
        <v>0</v>
      </c>
      <c r="C23" s="348">
        <f>B23</f>
        <v>0</v>
      </c>
      <c r="D23" s="348">
        <f>B23</f>
        <v>0</v>
      </c>
      <c r="E23" s="348">
        <f>SUM(B23:D23)</f>
        <v>0</v>
      </c>
      <c r="H23" s="326">
        <f>IF($B$21&gt;=B7+0.01,IF($B$21&lt;=B8,(E8*100),""),"")</f>
      </c>
      <c r="I23" s="326">
        <f t="shared" si="12"/>
      </c>
      <c r="J23" s="269"/>
      <c r="K23" s="269"/>
      <c r="L23" s="298"/>
    </row>
    <row r="24" spans="1:12" s="271" customFormat="1" ht="22.5" customHeight="1">
      <c r="A24" s="348" t="s">
        <v>554</v>
      </c>
      <c r="B24" s="348">
        <f>SUM(H26:H32)</f>
        <v>151450</v>
      </c>
      <c r="C24" s="348">
        <f>B24*0.91</f>
        <v>137819.5</v>
      </c>
      <c r="D24" s="348">
        <f>(B24-C24)+B24</f>
        <v>165080.5</v>
      </c>
      <c r="E24" s="348">
        <f>SUM(B24:D24)</f>
        <v>454350</v>
      </c>
      <c r="H24" s="326">
        <f>IF($B$21&gt;=B8+0.01,IF($B$21&lt;=B9,(E9*100),""),"")</f>
      </c>
      <c r="I24" s="326">
        <f t="shared" si="12"/>
      </c>
      <c r="J24" s="269"/>
      <c r="K24" s="269"/>
      <c r="L24" s="269"/>
    </row>
    <row r="25" spans="1:12" s="271" customFormat="1" ht="22.5" customHeight="1">
      <c r="A25" s="266" t="s">
        <v>586</v>
      </c>
      <c r="B25" s="348">
        <f>SUM(I21:I32)</f>
        <v>2679.99981</v>
      </c>
      <c r="C25" s="284">
        <v>15</v>
      </c>
      <c r="D25" s="266"/>
      <c r="E25" s="347">
        <f>B25*C25</f>
        <v>40199.997149999996</v>
      </c>
      <c r="H25" s="326">
        <f>IF($B$21&gt;=B9+0.01,IF($B$21&lt;=B10,(E10*100),""),"")</f>
      </c>
      <c r="I25" s="326">
        <f t="shared" si="12"/>
      </c>
      <c r="J25" s="269"/>
      <c r="K25" s="269"/>
      <c r="L25" s="269"/>
    </row>
    <row r="26" spans="8:12" s="271" customFormat="1" ht="21.75" customHeight="1">
      <c r="H26" s="325">
        <f aca="true" t="shared" si="13" ref="H26:H32">IF($B$21&gt;=B10+0.01,IF($B$21&lt;=B11,E11+(($B$21-B10)*F11),""),"")</f>
        <v>151450</v>
      </c>
      <c r="I26" s="325">
        <f t="shared" si="12"/>
        <v>2679.99981</v>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c>
      <c r="I31" s="325">
        <f t="shared" si="12"/>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653" t="s">
        <v>592</v>
      </c>
      <c r="B35" s="654"/>
      <c r="C35" s="654"/>
      <c r="D35" s="654"/>
      <c r="E35" s="654"/>
      <c r="F35" s="654"/>
      <c r="G35" s="655"/>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((500000-50000)*D6+C6)*15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C7*15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C10*15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C11*15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159250</v>
      </c>
      <c r="E41" s="341">
        <f t="shared" si="15"/>
        <v>-44661.20000000001</v>
      </c>
      <c r="F41" s="329">
        <f>57515*1.8</f>
        <v>103527</v>
      </c>
      <c r="G41" s="330">
        <f>C12*15</f>
        <v>41099.997149999996</v>
      </c>
      <c r="H41" s="267">
        <f t="shared" si="16"/>
        <v>-62427.002850000004</v>
      </c>
      <c r="I41" s="322">
        <f t="shared" si="14"/>
        <v>0.7809772096873541</v>
      </c>
      <c r="J41" s="269"/>
      <c r="K41" s="269"/>
      <c r="L41" s="269"/>
      <c r="M41" s="270"/>
      <c r="N41" s="270"/>
    </row>
    <row r="42" spans="1:14" s="271" customFormat="1" ht="21.75" customHeight="1">
      <c r="A42" s="344">
        <v>30000000</v>
      </c>
      <c r="B42" s="344">
        <v>30000000</v>
      </c>
      <c r="C42" s="335">
        <f>143784*1.8</f>
        <v>258811.2</v>
      </c>
      <c r="D42" s="336">
        <f>I12</f>
        <v>181450</v>
      </c>
      <c r="E42" s="341">
        <f t="shared" si="15"/>
        <v>-77361.20000000001</v>
      </c>
      <c r="F42" s="329">
        <f>77515*1.8</f>
        <v>139527</v>
      </c>
      <c r="G42" s="330">
        <f>C13*15</f>
        <v>44099.997149999996</v>
      </c>
      <c r="H42" s="267">
        <f t="shared" si="16"/>
        <v>-95427.00285</v>
      </c>
      <c r="I42" s="322">
        <f t="shared" si="14"/>
        <v>0.701090215570269</v>
      </c>
      <c r="J42" s="269"/>
      <c r="K42" s="269"/>
      <c r="L42" s="269"/>
      <c r="M42" s="270"/>
      <c r="N42" s="270"/>
    </row>
    <row r="43" spans="1:14" s="271" customFormat="1" ht="21.75" customHeight="1">
      <c r="A43" s="344">
        <v>50000000</v>
      </c>
      <c r="B43" s="344">
        <v>50000000</v>
      </c>
      <c r="C43" s="335">
        <f>172484*1.8</f>
        <v>310471.2</v>
      </c>
      <c r="D43" s="336">
        <f>I13</f>
        <v>217050</v>
      </c>
      <c r="E43" s="341">
        <f t="shared" si="15"/>
        <v>-93421.20000000001</v>
      </c>
      <c r="F43" s="329">
        <f>95515*1.8</f>
        <v>171927</v>
      </c>
      <c r="G43" s="330">
        <f>C14*15</f>
        <v>47099.997149999996</v>
      </c>
      <c r="H43" s="267">
        <f t="shared" si="16"/>
        <v>-124827.00285</v>
      </c>
      <c r="I43" s="322">
        <f t="shared" si="14"/>
        <v>0.6990986603588352</v>
      </c>
      <c r="J43" s="269"/>
      <c r="K43" s="269"/>
      <c r="L43" s="269"/>
      <c r="M43" s="270"/>
      <c r="N43" s="270"/>
    </row>
    <row r="44" spans="1:14" s="271" customFormat="1" ht="21.75" customHeight="1">
      <c r="A44" s="265">
        <v>100000000</v>
      </c>
      <c r="B44" s="265">
        <v>100000000</v>
      </c>
      <c r="C44" s="337">
        <f>214584*1.8</f>
        <v>386251.2</v>
      </c>
      <c r="D44" s="338">
        <f>I15</f>
        <v>270450</v>
      </c>
      <c r="E44" s="346">
        <f t="shared" si="15"/>
        <v>-115801.20000000001</v>
      </c>
      <c r="F44" s="331">
        <f>99215*1.8</f>
        <v>178587</v>
      </c>
      <c r="G44" s="332">
        <f>C16*15</f>
        <v>54599.997149999996</v>
      </c>
      <c r="H44" s="267">
        <f t="shared" si="16"/>
        <v>-123987.00285</v>
      </c>
      <c r="I44" s="322">
        <f t="shared" si="14"/>
        <v>0.700191999403497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4.xml><?xml version="1.0" encoding="utf-8"?>
<worksheet xmlns="http://schemas.openxmlformats.org/spreadsheetml/2006/main" xmlns:r="http://schemas.openxmlformats.org/officeDocument/2006/relationships">
  <dimension ref="A1:X54"/>
  <sheetViews>
    <sheetView workbookViewId="0" topLeftCell="A4">
      <selection activeCell="I26" sqref="I26"/>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8.7109375" style="269" bestFit="1"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56" t="s">
        <v>561</v>
      </c>
      <c r="B1" s="657"/>
      <c r="C1" s="657"/>
      <c r="D1" s="657"/>
      <c r="E1" s="657"/>
      <c r="F1" s="657"/>
    </row>
    <row r="2" spans="1:6" ht="40.5" customHeight="1">
      <c r="A2" s="658" t="s">
        <v>560</v>
      </c>
      <c r="B2" s="659"/>
      <c r="C2" s="659"/>
      <c r="D2" s="659"/>
      <c r="E2" s="659"/>
      <c r="F2" s="659"/>
    </row>
    <row r="3" spans="1:24" s="271" customFormat="1" ht="21.75" customHeight="1">
      <c r="A3" s="323"/>
      <c r="B3" s="323"/>
      <c r="C3" s="660" t="s">
        <v>542</v>
      </c>
      <c r="D3" s="661"/>
      <c r="E3" s="662" t="s">
        <v>558</v>
      </c>
      <c r="F3" s="663"/>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64" t="s">
        <v>559</v>
      </c>
      <c r="B4" s="664"/>
      <c r="C4" s="665" t="s">
        <v>543</v>
      </c>
      <c r="D4" s="665"/>
      <c r="E4" s="666" t="s">
        <v>543</v>
      </c>
      <c r="F4" s="666"/>
      <c r="G4"/>
      <c r="H4" s="267"/>
      <c r="I4" s="268"/>
      <c r="J4" s="267"/>
      <c r="K4" s="269"/>
      <c r="L4" s="269"/>
      <c r="M4" s="276"/>
      <c r="N4" s="277">
        <v>50000</v>
      </c>
      <c r="O4" s="278">
        <v>3000</v>
      </c>
      <c r="P4" s="279">
        <v>0.06</v>
      </c>
      <c r="Q4" s="263">
        <f>R4*N4</f>
        <v>9010</v>
      </c>
      <c r="R4" s="280">
        <f>18.02%</f>
        <v>0.1802</v>
      </c>
      <c r="S4" s="281">
        <f>(N4)*P4</f>
        <v>3000</v>
      </c>
      <c r="T4" s="282">
        <f>R4*N4</f>
        <v>9010</v>
      </c>
      <c r="U4" s="283">
        <f aca="true" t="shared" si="0" ref="U4:U9">(S4+T4)*0.6</f>
        <v>7206</v>
      </c>
      <c r="V4" s="270"/>
      <c r="X4" s="270"/>
    </row>
    <row r="5" spans="1:23" s="271" customFormat="1" ht="21.75" customHeight="1">
      <c r="A5" s="266"/>
      <c r="B5" s="264"/>
      <c r="C5" s="319">
        <v>2000</v>
      </c>
      <c r="D5" s="321">
        <v>0.00019</v>
      </c>
      <c r="E5" s="264"/>
      <c r="F5" s="275"/>
      <c r="G5"/>
      <c r="H5"/>
      <c r="I5" s="268"/>
      <c r="J5" s="281"/>
      <c r="K5" s="267"/>
      <c r="L5" s="269"/>
      <c r="M5" s="278">
        <v>50001</v>
      </c>
      <c r="N5" s="277">
        <v>100000</v>
      </c>
      <c r="O5" s="278">
        <v>3000</v>
      </c>
      <c r="P5" s="285">
        <v>0.0265</v>
      </c>
      <c r="Q5" s="286">
        <f>T4</f>
        <v>9010</v>
      </c>
      <c r="R5" s="280">
        <v>0.13568</v>
      </c>
      <c r="S5" s="281">
        <f>((N5-N4)*P5)+O5</f>
        <v>4325</v>
      </c>
      <c r="T5" s="281">
        <f>((N5-N4)*R5)+Q5</f>
        <v>15794</v>
      </c>
      <c r="U5" s="283">
        <f t="shared" si="0"/>
        <v>12071.4</v>
      </c>
      <c r="V5" s="270"/>
      <c r="W5" s="270"/>
    </row>
    <row r="6" spans="1:23" s="271" customFormat="1" ht="21.75" customHeight="1">
      <c r="A6" s="324">
        <v>1</v>
      </c>
      <c r="B6" s="324">
        <v>1000000</v>
      </c>
      <c r="C6" s="264">
        <f>C5+(B6-A6)*D5</f>
        <v>2189.99981</v>
      </c>
      <c r="D6" s="287">
        <v>0.00016</v>
      </c>
      <c r="E6" s="292">
        <f>250*1.8</f>
        <v>450</v>
      </c>
      <c r="F6" s="351" t="s">
        <v>591</v>
      </c>
      <c r="G6"/>
      <c r="H6" s="353"/>
      <c r="I6" s="354">
        <f>E6*100</f>
        <v>45000</v>
      </c>
      <c r="J6" s="281"/>
      <c r="K6" s="267"/>
      <c r="L6" s="279"/>
      <c r="M6" s="278">
        <v>100001</v>
      </c>
      <c r="N6" s="277">
        <v>200000</v>
      </c>
      <c r="O6" s="278">
        <f aca="true" t="shared" si="1" ref="O6:O16">S5</f>
        <v>4325</v>
      </c>
      <c r="P6" s="285">
        <v>0.01431</v>
      </c>
      <c r="Q6" s="286">
        <f>T5</f>
        <v>15794</v>
      </c>
      <c r="R6" s="280">
        <v>0.07685</v>
      </c>
      <c r="S6" s="281">
        <f aca="true" t="shared" si="2" ref="S6:S15">((N6-N5)*P6)+O6</f>
        <v>5756</v>
      </c>
      <c r="T6" s="281">
        <f aca="true" t="shared" si="3" ref="T6:T16">((N6-N5)*R6)+Q6</f>
        <v>23479</v>
      </c>
      <c r="U6" s="283">
        <f t="shared" si="0"/>
        <v>17541</v>
      </c>
      <c r="V6" s="270"/>
      <c r="W6" s="270"/>
    </row>
    <row r="7" spans="1:23" s="271" customFormat="1" ht="21.75" customHeight="1">
      <c r="A7" s="264">
        <v>1000001</v>
      </c>
      <c r="B7" s="264">
        <v>2000000</v>
      </c>
      <c r="C7" s="319">
        <f aca="true" t="shared" si="4" ref="C7:C17">C6+(B7-B6)*D6</f>
        <v>2349.99981</v>
      </c>
      <c r="D7" s="320">
        <v>0.0001</v>
      </c>
      <c r="E7" s="284">
        <v>500</v>
      </c>
      <c r="F7" s="352" t="s">
        <v>591</v>
      </c>
      <c r="G7"/>
      <c r="H7" s="355"/>
      <c r="I7" s="356">
        <f>E7*100</f>
        <v>50000</v>
      </c>
      <c r="J7" s="281"/>
      <c r="K7" s="267"/>
      <c r="L7" s="285"/>
      <c r="M7" s="278">
        <v>200001</v>
      </c>
      <c r="N7" s="277">
        <v>500000</v>
      </c>
      <c r="O7" s="278">
        <f t="shared" si="1"/>
        <v>5756</v>
      </c>
      <c r="P7" s="285">
        <v>0.01367</v>
      </c>
      <c r="Q7" s="286">
        <f aca="true" t="shared" si="5" ref="Q7:Q16">T6</f>
        <v>23479</v>
      </c>
      <c r="R7" s="280">
        <v>0.06837</v>
      </c>
      <c r="S7" s="281">
        <f t="shared" si="2"/>
        <v>9857</v>
      </c>
      <c r="T7" s="281">
        <f t="shared" si="3"/>
        <v>43990</v>
      </c>
      <c r="U7" s="283">
        <f t="shared" si="0"/>
        <v>32308.199999999997</v>
      </c>
      <c r="V7" s="270"/>
      <c r="W7" s="270"/>
    </row>
    <row r="8" spans="1:23" s="271" customFormat="1" ht="21.75" customHeight="1">
      <c r="A8" s="324">
        <v>2000001</v>
      </c>
      <c r="B8" s="324">
        <v>3000000</v>
      </c>
      <c r="C8" s="264">
        <f t="shared" si="4"/>
        <v>2449.99981</v>
      </c>
      <c r="D8" s="287">
        <v>7E-05</v>
      </c>
      <c r="E8" s="292">
        <v>550</v>
      </c>
      <c r="F8" s="351" t="s">
        <v>591</v>
      </c>
      <c r="G8"/>
      <c r="H8" s="355"/>
      <c r="I8" s="356">
        <f>E8*100</f>
        <v>55000</v>
      </c>
      <c r="J8" s="281"/>
      <c r="K8" s="267"/>
      <c r="L8" s="285"/>
      <c r="M8" s="278">
        <v>500001</v>
      </c>
      <c r="N8" s="277">
        <v>1000000</v>
      </c>
      <c r="O8" s="278">
        <f t="shared" si="1"/>
        <v>9857</v>
      </c>
      <c r="P8" s="285">
        <v>0.00954</v>
      </c>
      <c r="Q8" s="286">
        <f t="shared" si="5"/>
        <v>43990</v>
      </c>
      <c r="R8" s="280">
        <v>0.04028</v>
      </c>
      <c r="S8" s="281">
        <f t="shared" si="2"/>
        <v>14627</v>
      </c>
      <c r="T8" s="281">
        <f t="shared" si="3"/>
        <v>64130</v>
      </c>
      <c r="U8" s="283">
        <f t="shared" si="0"/>
        <v>47254.2</v>
      </c>
      <c r="V8" s="270"/>
      <c r="W8" s="270"/>
    </row>
    <row r="9" spans="1:23" s="271" customFormat="1" ht="21.75" customHeight="1">
      <c r="A9" s="264">
        <v>3000001</v>
      </c>
      <c r="B9" s="264">
        <v>5000000</v>
      </c>
      <c r="C9" s="319">
        <f t="shared" si="4"/>
        <v>2589.99981</v>
      </c>
      <c r="D9" s="320">
        <v>3E-05</v>
      </c>
      <c r="E9" s="284">
        <v>600</v>
      </c>
      <c r="F9" s="352" t="s">
        <v>591</v>
      </c>
      <c r="G9"/>
      <c r="H9" s="355"/>
      <c r="I9" s="356">
        <f>E9*100</f>
        <v>60000</v>
      </c>
      <c r="J9" s="281"/>
      <c r="K9" s="267"/>
      <c r="L9" s="285"/>
      <c r="M9" s="278">
        <v>1000001</v>
      </c>
      <c r="N9" s="277">
        <v>2000000</v>
      </c>
      <c r="O9" s="278">
        <f t="shared" si="1"/>
        <v>14627</v>
      </c>
      <c r="P9" s="285">
        <v>0.00689</v>
      </c>
      <c r="Q9" s="286">
        <f t="shared" si="5"/>
        <v>64130</v>
      </c>
      <c r="R9" s="280">
        <v>0.03604</v>
      </c>
      <c r="S9" s="281">
        <f t="shared" si="2"/>
        <v>21517</v>
      </c>
      <c r="T9" s="281">
        <f t="shared" si="3"/>
        <v>100170</v>
      </c>
      <c r="U9" s="283">
        <f t="shared" si="0"/>
        <v>73012.2</v>
      </c>
      <c r="V9" s="270"/>
      <c r="W9" s="270"/>
    </row>
    <row r="10" spans="1:23" s="271" customFormat="1" ht="21.75" customHeight="1">
      <c r="A10" s="324">
        <v>5000001</v>
      </c>
      <c r="B10" s="324">
        <v>7500000</v>
      </c>
      <c r="C10" s="264">
        <f t="shared" si="4"/>
        <v>2664.99981</v>
      </c>
      <c r="D10" s="287">
        <v>3E-05</v>
      </c>
      <c r="E10" s="295">
        <v>650</v>
      </c>
      <c r="F10" s="351" t="s">
        <v>591</v>
      </c>
      <c r="G10"/>
      <c r="H10" s="355"/>
      <c r="I10" s="356">
        <f>E10*230</f>
        <v>149500</v>
      </c>
      <c r="J10" s="281">
        <f aca="true" t="shared" si="6" ref="J10:J16">U10*0.7*1.8</f>
        <v>132048.252</v>
      </c>
      <c r="K10" s="297">
        <f aca="true" t="shared" si="7" ref="K10:K16">U10*0.8</f>
        <v>83840.16</v>
      </c>
      <c r="L10" s="285"/>
      <c r="M10" s="278">
        <v>2000001</v>
      </c>
      <c r="N10" s="277">
        <v>5000000</v>
      </c>
      <c r="O10" s="278">
        <f t="shared" si="1"/>
        <v>21517</v>
      </c>
      <c r="P10" s="285">
        <v>0.00375</v>
      </c>
      <c r="Q10" s="286">
        <f t="shared" si="5"/>
        <v>100170</v>
      </c>
      <c r="R10" s="280">
        <v>0.01391</v>
      </c>
      <c r="S10" s="281">
        <f t="shared" si="2"/>
        <v>32767</v>
      </c>
      <c r="T10" s="281">
        <f t="shared" si="3"/>
        <v>141900</v>
      </c>
      <c r="U10" s="283">
        <f>(S10+T10)*0.6</f>
        <v>104800.2</v>
      </c>
      <c r="V10" s="270"/>
      <c r="W10" s="270"/>
    </row>
    <row r="11" spans="1:23" s="271" customFormat="1" ht="21.75" customHeight="1">
      <c r="A11" s="264">
        <v>7500001</v>
      </c>
      <c r="B11" s="264">
        <v>10000000</v>
      </c>
      <c r="C11" s="319">
        <f t="shared" si="4"/>
        <v>2739.99981</v>
      </c>
      <c r="D11" s="320">
        <v>1E-05</v>
      </c>
      <c r="E11" s="264">
        <f>E10*230</f>
        <v>149500</v>
      </c>
      <c r="F11" s="359">
        <v>0.0039</v>
      </c>
      <c r="G11" s="278"/>
      <c r="H11" s="263">
        <f aca="true" t="shared" si="8" ref="H11:H16">(B11-B10)*F11</f>
        <v>9750</v>
      </c>
      <c r="I11" s="315">
        <f aca="true" t="shared" si="9" ref="I11:I16">E11+H11</f>
        <v>159250</v>
      </c>
      <c r="J11" s="281">
        <f t="shared" si="6"/>
        <v>142737.21</v>
      </c>
      <c r="K11" s="297">
        <f t="shared" si="7"/>
        <v>90626.8</v>
      </c>
      <c r="L11" s="277"/>
      <c r="M11" s="278">
        <v>5000001</v>
      </c>
      <c r="N11" s="314">
        <v>10000000</v>
      </c>
      <c r="O11" s="278">
        <f t="shared" si="1"/>
        <v>32767</v>
      </c>
      <c r="P11" s="285">
        <v>0.00128</v>
      </c>
      <c r="Q11" s="286">
        <f t="shared" si="5"/>
        <v>141900</v>
      </c>
      <c r="R11" s="280">
        <v>0.0091</v>
      </c>
      <c r="S11" s="281">
        <f t="shared" si="2"/>
        <v>39167</v>
      </c>
      <c r="T11" s="281">
        <f t="shared" si="3"/>
        <v>187400</v>
      </c>
      <c r="U11" s="296">
        <f aca="true" t="shared" si="10" ref="U11:U16">(S11+T11)*0.5</f>
        <v>113283.5</v>
      </c>
      <c r="V11" s="270"/>
      <c r="W11" s="270"/>
    </row>
    <row r="12" spans="1:23" s="271" customFormat="1" ht="21.75" customHeight="1">
      <c r="A12" s="324">
        <v>10000001</v>
      </c>
      <c r="B12" s="324">
        <v>30000000</v>
      </c>
      <c r="C12" s="264">
        <f t="shared" si="4"/>
        <v>2939.99981</v>
      </c>
      <c r="D12" s="287">
        <v>1E-05</v>
      </c>
      <c r="E12" s="293">
        <f aca="true" t="shared" si="11" ref="E12:E17">I11</f>
        <v>159250</v>
      </c>
      <c r="F12" s="360">
        <v>0.00111</v>
      </c>
      <c r="G12" s="278"/>
      <c r="H12" s="357">
        <f t="shared" si="8"/>
        <v>22200.000000000004</v>
      </c>
      <c r="I12" s="317">
        <f t="shared" si="9"/>
        <v>181450</v>
      </c>
      <c r="J12" s="281">
        <f t="shared" si="6"/>
        <v>181167.21</v>
      </c>
      <c r="K12" s="297">
        <f t="shared" si="7"/>
        <v>115026.8</v>
      </c>
      <c r="L12" s="277"/>
      <c r="M12" s="278">
        <v>10000001</v>
      </c>
      <c r="N12" s="314">
        <v>30000000</v>
      </c>
      <c r="O12" s="278">
        <f t="shared" si="1"/>
        <v>39167</v>
      </c>
      <c r="P12" s="285">
        <v>0.00064</v>
      </c>
      <c r="Q12" s="286">
        <f t="shared" si="5"/>
        <v>187400</v>
      </c>
      <c r="R12" s="280">
        <v>0.00241</v>
      </c>
      <c r="S12" s="281">
        <f t="shared" si="2"/>
        <v>51967</v>
      </c>
      <c r="T12" s="281">
        <f t="shared" si="3"/>
        <v>235600</v>
      </c>
      <c r="U12" s="296">
        <f t="shared" si="10"/>
        <v>143783.5</v>
      </c>
      <c r="V12" s="270"/>
      <c r="W12" s="270"/>
    </row>
    <row r="13" spans="1:23" s="271" customFormat="1" ht="21.75" customHeight="1">
      <c r="A13" s="264">
        <v>30000001</v>
      </c>
      <c r="B13" s="264">
        <v>50000000</v>
      </c>
      <c r="C13" s="319">
        <f t="shared" si="4"/>
        <v>3139.99981</v>
      </c>
      <c r="D13" s="320">
        <v>1E-05</v>
      </c>
      <c r="E13" s="264">
        <f t="shared" si="11"/>
        <v>181450</v>
      </c>
      <c r="F13" s="359">
        <v>0.00178</v>
      </c>
      <c r="G13" s="278"/>
      <c r="H13" s="263">
        <f t="shared" si="8"/>
        <v>35600</v>
      </c>
      <c r="I13" s="315">
        <f t="shared" si="9"/>
        <v>217050</v>
      </c>
      <c r="J13" s="281">
        <f t="shared" si="6"/>
        <v>217329.21</v>
      </c>
      <c r="K13" s="297">
        <f t="shared" si="7"/>
        <v>137986.80000000002</v>
      </c>
      <c r="L13" s="277"/>
      <c r="M13" s="278">
        <v>30000001</v>
      </c>
      <c r="N13" s="314">
        <v>50000000</v>
      </c>
      <c r="O13" s="278">
        <f t="shared" si="1"/>
        <v>51967</v>
      </c>
      <c r="P13" s="285">
        <v>0.00059</v>
      </c>
      <c r="Q13" s="286">
        <f t="shared" si="5"/>
        <v>235600</v>
      </c>
      <c r="R13" s="280">
        <v>0.00228</v>
      </c>
      <c r="S13" s="281">
        <f t="shared" si="2"/>
        <v>63767</v>
      </c>
      <c r="T13" s="281">
        <f t="shared" si="3"/>
        <v>281200</v>
      </c>
      <c r="U13" s="296">
        <f t="shared" si="10"/>
        <v>172483.5</v>
      </c>
      <c r="V13" s="270"/>
      <c r="W13" s="270"/>
    </row>
    <row r="14" spans="1:23" s="271" customFormat="1" ht="21.75" customHeight="1">
      <c r="A14" s="324">
        <v>50000001</v>
      </c>
      <c r="B14" s="324">
        <v>80000000</v>
      </c>
      <c r="C14" s="264">
        <f t="shared" si="4"/>
        <v>3439.99981</v>
      </c>
      <c r="D14" s="287">
        <v>1E-05</v>
      </c>
      <c r="E14" s="293">
        <f t="shared" si="11"/>
        <v>217050</v>
      </c>
      <c r="F14" s="360">
        <v>0.0012</v>
      </c>
      <c r="G14" s="278"/>
      <c r="H14" s="357">
        <f t="shared" si="8"/>
        <v>36000</v>
      </c>
      <c r="I14" s="317">
        <f t="shared" si="9"/>
        <v>253050</v>
      </c>
      <c r="J14" s="281">
        <f t="shared" si="6"/>
        <v>253239.20999999996</v>
      </c>
      <c r="K14" s="297">
        <f t="shared" si="7"/>
        <v>160786.80000000002</v>
      </c>
      <c r="L14" s="277"/>
      <c r="M14" s="278">
        <v>50000001</v>
      </c>
      <c r="N14" s="314">
        <v>80000000</v>
      </c>
      <c r="O14" s="278">
        <f t="shared" si="1"/>
        <v>63767</v>
      </c>
      <c r="P14" s="285">
        <v>0.00033</v>
      </c>
      <c r="Q14" s="286">
        <f t="shared" si="5"/>
        <v>281200</v>
      </c>
      <c r="R14" s="280">
        <v>0.00157</v>
      </c>
      <c r="S14" s="281">
        <f t="shared" si="2"/>
        <v>73667</v>
      </c>
      <c r="T14" s="281">
        <f t="shared" si="3"/>
        <v>328300</v>
      </c>
      <c r="U14" s="296">
        <f t="shared" si="10"/>
        <v>200983.5</v>
      </c>
      <c r="V14" s="270"/>
      <c r="W14" s="270"/>
    </row>
    <row r="15" spans="1:23" s="271" customFormat="1" ht="21.75" customHeight="1">
      <c r="A15" s="264">
        <v>80000001</v>
      </c>
      <c r="B15" s="264">
        <v>100000000</v>
      </c>
      <c r="C15" s="319">
        <f t="shared" si="4"/>
        <v>3639.99981</v>
      </c>
      <c r="D15" s="320">
        <v>1E-05</v>
      </c>
      <c r="E15" s="264">
        <f t="shared" si="11"/>
        <v>253050</v>
      </c>
      <c r="F15" s="359">
        <v>0.00087</v>
      </c>
      <c r="G15" s="278"/>
      <c r="H15" s="263">
        <f t="shared" si="8"/>
        <v>17400</v>
      </c>
      <c r="I15" s="315">
        <f t="shared" si="9"/>
        <v>270450</v>
      </c>
      <c r="J15" s="281">
        <f t="shared" si="6"/>
        <v>270375.20999999996</v>
      </c>
      <c r="K15" s="297">
        <f t="shared" si="7"/>
        <v>171666.80000000002</v>
      </c>
      <c r="L15" s="277"/>
      <c r="M15" s="278">
        <v>80000001</v>
      </c>
      <c r="N15" s="314">
        <v>100000000</v>
      </c>
      <c r="O15" s="278">
        <f t="shared" si="1"/>
        <v>73667</v>
      </c>
      <c r="P15" s="285">
        <v>0.00021</v>
      </c>
      <c r="Q15" s="286">
        <f t="shared" si="5"/>
        <v>328300</v>
      </c>
      <c r="R15" s="280">
        <v>0.00115</v>
      </c>
      <c r="S15" s="281">
        <f t="shared" si="2"/>
        <v>77867</v>
      </c>
      <c r="T15" s="281">
        <f t="shared" si="3"/>
        <v>351300</v>
      </c>
      <c r="U15" s="296">
        <f t="shared" si="10"/>
        <v>214583.5</v>
      </c>
      <c r="V15" s="270"/>
      <c r="W15" s="270"/>
    </row>
    <row r="16" spans="1:23" s="271" customFormat="1" ht="21.75" customHeight="1">
      <c r="A16" s="324">
        <v>100000001</v>
      </c>
      <c r="B16" s="324">
        <v>500000000</v>
      </c>
      <c r="C16" s="264">
        <f t="shared" si="4"/>
        <v>7639.99981</v>
      </c>
      <c r="D16" s="320">
        <v>1E-05</v>
      </c>
      <c r="E16" s="293">
        <f t="shared" si="11"/>
        <v>270450</v>
      </c>
      <c r="F16" s="360">
        <v>0.000435</v>
      </c>
      <c r="G16" s="278"/>
      <c r="H16" s="357">
        <f t="shared" si="8"/>
        <v>174000</v>
      </c>
      <c r="I16" s="317">
        <f t="shared" si="9"/>
        <v>444450</v>
      </c>
      <c r="J16" s="281">
        <f t="shared" si="6"/>
        <v>444255.20999999996</v>
      </c>
      <c r="K16" s="297">
        <f t="shared" si="7"/>
        <v>282066.8</v>
      </c>
      <c r="L16" s="277"/>
      <c r="M16" s="278">
        <v>100000001</v>
      </c>
      <c r="N16" s="314">
        <v>500000000</v>
      </c>
      <c r="O16" s="278">
        <f t="shared" si="1"/>
        <v>77867</v>
      </c>
      <c r="P16" s="285">
        <v>0.00011</v>
      </c>
      <c r="Q16" s="286">
        <f t="shared" si="5"/>
        <v>351300</v>
      </c>
      <c r="R16" s="280">
        <v>0.00058</v>
      </c>
      <c r="S16" s="281">
        <f>((N16-N15)*P16)+O16</f>
        <v>121867</v>
      </c>
      <c r="T16" s="281">
        <f t="shared" si="3"/>
        <v>583300</v>
      </c>
      <c r="U16" s="296">
        <f t="shared" si="10"/>
        <v>352583.5</v>
      </c>
      <c r="V16" s="270"/>
      <c r="W16" s="270"/>
    </row>
    <row r="17" spans="1:23" s="271" customFormat="1" ht="21.75" customHeight="1">
      <c r="A17" s="264" t="s">
        <v>585</v>
      </c>
      <c r="B17" s="264">
        <v>600000000</v>
      </c>
      <c r="C17" s="264">
        <f t="shared" si="4"/>
        <v>8639.999810000001</v>
      </c>
      <c r="D17" s="320"/>
      <c r="E17" s="264">
        <f t="shared" si="11"/>
        <v>444450</v>
      </c>
      <c r="F17" s="359">
        <v>0.00022</v>
      </c>
      <c r="G17" s="358"/>
      <c r="H17" s="265"/>
      <c r="I17" s="361"/>
      <c r="J17" s="281"/>
      <c r="K17" s="297"/>
      <c r="L17" s="285"/>
      <c r="M17" t="s">
        <v>537</v>
      </c>
      <c r="N17"/>
      <c r="O17">
        <f>S16</f>
        <v>121867</v>
      </c>
      <c r="P17">
        <v>0.0001</v>
      </c>
      <c r="Q17">
        <f>T16</f>
        <v>583300</v>
      </c>
      <c r="R17">
        <v>0.0004</v>
      </c>
      <c r="S17" s="281"/>
      <c r="T17" s="281"/>
      <c r="U17" s="296"/>
      <c r="V17" s="270"/>
      <c r="W17" s="270"/>
    </row>
    <row r="18" spans="1:23" s="271" customFormat="1" ht="21.75" customHeight="1">
      <c r="A18" s="288"/>
      <c r="B18" s="288"/>
      <c r="E18" s="288"/>
      <c r="F18" s="300"/>
      <c r="G18"/>
      <c r="H18" s="281"/>
      <c r="I18" s="268"/>
      <c r="J18" s="267"/>
      <c r="K18" s="297"/>
      <c r="L18" s="300"/>
      <c r="V18" s="270"/>
      <c r="W18" s="270"/>
    </row>
    <row r="19" spans="7:15" ht="14.25" customHeight="1">
      <c r="G19" s="267"/>
      <c r="H19" s="291"/>
      <c r="I19" s="301"/>
      <c r="O19" s="288">
        <f>O16*1.8</f>
        <v>140160.6</v>
      </c>
    </row>
    <row r="20" spans="1:14" ht="22.5" customHeight="1">
      <c r="A20" s="652" t="s">
        <v>587</v>
      </c>
      <c r="B20" s="652"/>
      <c r="C20" s="652"/>
      <c r="D20" s="652"/>
      <c r="E20" s="652"/>
      <c r="H20" s="266" t="s">
        <v>534</v>
      </c>
      <c r="I20" s="266" t="s">
        <v>586</v>
      </c>
      <c r="J20" s="269"/>
      <c r="K20" s="362">
        <f>I16/1.8</f>
        <v>246916.66666666666</v>
      </c>
      <c r="L20" s="269"/>
      <c r="N20" s="301">
        <f>N16/1.8</f>
        <v>277777777.7777778</v>
      </c>
    </row>
    <row r="21" spans="1:10" ht="22.5" customHeight="1">
      <c r="A21" s="348" t="s">
        <v>554</v>
      </c>
      <c r="B21" s="349">
        <v>8000000</v>
      </c>
      <c r="C21" s="348"/>
      <c r="D21" s="348"/>
      <c r="E21" s="348"/>
      <c r="H21" s="326">
        <f>IF($B$21&gt;=B5+0.01,IF($B$21&lt;=B6,(E6*100),""),"")</f>
      </c>
      <c r="I21" s="326">
        <f>IF($B$21&gt;=A6+0.01,IF($B$21&lt;=B6,C5+(($B$21-A6)*D5),""),"")</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IF($B$21&gt;=B6+0.01,IF($B$21&lt;=B7,C6+(($B$21-B6)*D6),""),"")</f>
      </c>
      <c r="J22" s="269"/>
      <c r="K22" s="269"/>
      <c r="L22" s="269"/>
    </row>
    <row r="23" spans="1:12" s="271" customFormat="1" ht="22.5" customHeight="1">
      <c r="A23" s="348" t="s">
        <v>589</v>
      </c>
      <c r="B23" s="348">
        <f>SUM(H21:H25)</f>
        <v>0</v>
      </c>
      <c r="C23" s="348">
        <f>B23</f>
        <v>0</v>
      </c>
      <c r="D23" s="348">
        <f>B23</f>
        <v>0</v>
      </c>
      <c r="E23" s="348">
        <f>SUM(B23:D23)</f>
        <v>0</v>
      </c>
      <c r="H23" s="326">
        <f>IF($B$21&gt;=B7+0.01,IF($B$21&lt;=B8,(E8*100),""),"")</f>
      </c>
      <c r="I23" s="326">
        <f t="shared" si="12"/>
      </c>
      <c r="J23" s="269"/>
      <c r="K23" s="269"/>
      <c r="L23" s="298"/>
    </row>
    <row r="24" spans="1:12" s="271" customFormat="1" ht="22.5" customHeight="1">
      <c r="A24" s="348" t="s">
        <v>554</v>
      </c>
      <c r="B24" s="348">
        <f>SUM(H26:H32)</f>
        <v>151450</v>
      </c>
      <c r="C24" s="348">
        <f>B24*0.91</f>
        <v>137819.5</v>
      </c>
      <c r="D24" s="348">
        <f>(B24-C24)+B24</f>
        <v>165080.5</v>
      </c>
      <c r="E24" s="348">
        <f>SUM(B24:D24)</f>
        <v>454350</v>
      </c>
      <c r="H24" s="326">
        <f>IF($B$21&gt;=B8+0.01,IF($B$21&lt;=B9,(E9*100),""),"")</f>
      </c>
      <c r="I24" s="326">
        <f t="shared" si="12"/>
      </c>
      <c r="J24" s="269"/>
      <c r="K24" s="269"/>
      <c r="L24" s="269"/>
    </row>
    <row r="25" spans="1:12" s="271" customFormat="1" ht="22.5" customHeight="1">
      <c r="A25" s="266" t="s">
        <v>586</v>
      </c>
      <c r="B25" s="348">
        <f>SUM(I21:I32)</f>
        <v>2679.99981</v>
      </c>
      <c r="C25" s="284">
        <v>15</v>
      </c>
      <c r="D25" s="266"/>
      <c r="E25" s="347">
        <f>B25*C25</f>
        <v>40199.997149999996</v>
      </c>
      <c r="H25" s="326">
        <f>IF($B$21&gt;=B9+0.01,IF($B$21&lt;=B10,(E10*100),""),"")</f>
      </c>
      <c r="I25" s="326">
        <f t="shared" si="12"/>
      </c>
      <c r="J25" s="269"/>
      <c r="K25" s="269"/>
      <c r="L25" s="269"/>
    </row>
    <row r="26" spans="8:12" s="271" customFormat="1" ht="21.75" customHeight="1">
      <c r="H26" s="325">
        <f aca="true" t="shared" si="13" ref="H26:H32">IF($B$21&gt;=B10+0.01,IF($B$21&lt;=B11,E11+(($B$21-B10)*F11),""),"")</f>
        <v>151450</v>
      </c>
      <c r="I26" s="325">
        <f t="shared" si="12"/>
        <v>2679.99981</v>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c>
      <c r="I31" s="325">
        <f t="shared" si="12"/>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653" t="s">
        <v>592</v>
      </c>
      <c r="B35" s="654"/>
      <c r="C35" s="654"/>
      <c r="D35" s="654"/>
      <c r="E35" s="654"/>
      <c r="F35" s="654"/>
      <c r="G35" s="655"/>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((500000-50000)*D5+C5)*15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C6*15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C9*15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C10*15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159250</v>
      </c>
      <c r="E41" s="341">
        <f t="shared" si="15"/>
        <v>-44661.20000000001</v>
      </c>
      <c r="F41" s="329">
        <f>57515*1.8</f>
        <v>103527</v>
      </c>
      <c r="G41" s="330">
        <f>C11*15</f>
        <v>41099.997149999996</v>
      </c>
      <c r="H41" s="267">
        <f t="shared" si="16"/>
        <v>-62427.002850000004</v>
      </c>
      <c r="I41" s="322">
        <f t="shared" si="14"/>
        <v>0.7809772096873541</v>
      </c>
      <c r="J41" s="269"/>
      <c r="K41" s="269"/>
      <c r="L41" s="269"/>
      <c r="M41" s="270"/>
      <c r="N41" s="270"/>
    </row>
    <row r="42" spans="1:14" s="271" customFormat="1" ht="21.75" customHeight="1">
      <c r="A42" s="344">
        <v>30000000</v>
      </c>
      <c r="B42" s="344">
        <v>30000000</v>
      </c>
      <c r="C42" s="335">
        <f>143784*1.8</f>
        <v>258811.2</v>
      </c>
      <c r="D42" s="336">
        <f>I12</f>
        <v>181450</v>
      </c>
      <c r="E42" s="341">
        <f t="shared" si="15"/>
        <v>-77361.20000000001</v>
      </c>
      <c r="F42" s="329">
        <f>77515*1.8</f>
        <v>139527</v>
      </c>
      <c r="G42" s="330">
        <f>C12*15</f>
        <v>44099.997149999996</v>
      </c>
      <c r="H42" s="267">
        <f t="shared" si="16"/>
        <v>-95427.00285</v>
      </c>
      <c r="I42" s="322">
        <f t="shared" si="14"/>
        <v>0.701090215570269</v>
      </c>
      <c r="J42" s="269"/>
      <c r="K42" s="269"/>
      <c r="L42" s="269"/>
      <c r="M42" s="270"/>
      <c r="N42" s="270"/>
    </row>
    <row r="43" spans="1:14" s="271" customFormat="1" ht="21.75" customHeight="1">
      <c r="A43" s="344">
        <v>50000000</v>
      </c>
      <c r="B43" s="344">
        <v>50000000</v>
      </c>
      <c r="C43" s="335">
        <f>172484*1.8</f>
        <v>310471.2</v>
      </c>
      <c r="D43" s="336">
        <f>I13</f>
        <v>217050</v>
      </c>
      <c r="E43" s="341">
        <f t="shared" si="15"/>
        <v>-93421.20000000001</v>
      </c>
      <c r="F43" s="329">
        <f>95515*1.8</f>
        <v>171927</v>
      </c>
      <c r="G43" s="330">
        <f>C13*15</f>
        <v>47099.997149999996</v>
      </c>
      <c r="H43" s="267">
        <f t="shared" si="16"/>
        <v>-124827.00285</v>
      </c>
      <c r="I43" s="322">
        <f t="shared" si="14"/>
        <v>0.6990986603588352</v>
      </c>
      <c r="J43" s="269"/>
      <c r="K43" s="269"/>
      <c r="L43" s="269"/>
      <c r="M43" s="270"/>
      <c r="N43" s="270"/>
    </row>
    <row r="44" spans="1:14" s="271" customFormat="1" ht="21.75" customHeight="1">
      <c r="A44" s="265">
        <v>100000000</v>
      </c>
      <c r="B44" s="265">
        <v>100000000</v>
      </c>
      <c r="C44" s="337">
        <f>214584*1.8</f>
        <v>386251.2</v>
      </c>
      <c r="D44" s="338">
        <f>I15</f>
        <v>270450</v>
      </c>
      <c r="E44" s="346">
        <f t="shared" si="15"/>
        <v>-115801.20000000001</v>
      </c>
      <c r="F44" s="331">
        <f>99215*1.8</f>
        <v>178587</v>
      </c>
      <c r="G44" s="332">
        <f>C15*15</f>
        <v>54599.997149999996</v>
      </c>
      <c r="H44" s="267">
        <f t="shared" si="16"/>
        <v>-123987.00285</v>
      </c>
      <c r="I44" s="322">
        <f t="shared" si="14"/>
        <v>0.700191999403497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5.xml><?xml version="1.0" encoding="utf-8"?>
<worksheet xmlns="http://schemas.openxmlformats.org/spreadsheetml/2006/main" xmlns:r="http://schemas.openxmlformats.org/officeDocument/2006/relationships">
  <dimension ref="A1:X54"/>
  <sheetViews>
    <sheetView workbookViewId="0" topLeftCell="A31">
      <selection activeCell="C37" sqref="C37"/>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23.851562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8.28125" style="269" bestFit="1"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67" t="s">
        <v>561</v>
      </c>
      <c r="B1" s="668"/>
      <c r="C1" s="668"/>
      <c r="D1" s="668"/>
      <c r="E1" s="668"/>
      <c r="F1" s="669"/>
    </row>
    <row r="2" spans="1:6" ht="40.5" customHeight="1">
      <c r="A2" s="667" t="s">
        <v>560</v>
      </c>
      <c r="B2" s="668"/>
      <c r="C2" s="668"/>
      <c r="D2" s="668"/>
      <c r="E2" s="668"/>
      <c r="F2" s="669"/>
    </row>
    <row r="3" spans="1:24" s="271" customFormat="1" ht="21.75" customHeight="1">
      <c r="A3" s="323"/>
      <c r="B3" s="323"/>
      <c r="C3" s="660" t="s">
        <v>542</v>
      </c>
      <c r="D3" s="661"/>
      <c r="E3" s="662" t="s">
        <v>558</v>
      </c>
      <c r="F3" s="663"/>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64" t="s">
        <v>559</v>
      </c>
      <c r="B4" s="664"/>
      <c r="C4" s="665" t="s">
        <v>543</v>
      </c>
      <c r="D4" s="665"/>
      <c r="E4" s="666" t="s">
        <v>543</v>
      </c>
      <c r="F4" s="666"/>
      <c r="G4"/>
      <c r="H4" s="267"/>
      <c r="I4" s="268"/>
      <c r="J4" s="267"/>
      <c r="K4" s="269"/>
      <c r="L4" s="269"/>
      <c r="M4" s="276"/>
      <c r="N4" s="277">
        <v>50000</v>
      </c>
      <c r="O4" s="278">
        <v>3000</v>
      </c>
      <c r="P4" s="279">
        <v>0.06</v>
      </c>
      <c r="Q4" s="263">
        <f>R4*N4</f>
        <v>9010</v>
      </c>
      <c r="R4" s="280">
        <f>18.02%</f>
        <v>0.1802</v>
      </c>
      <c r="S4" s="281">
        <f>(N4)*P4</f>
        <v>3000</v>
      </c>
      <c r="T4" s="282">
        <f>R4*N4</f>
        <v>9010</v>
      </c>
      <c r="U4" s="283">
        <f aca="true" t="shared" si="0" ref="U4:U9">(S4+T4)*0.6</f>
        <v>7206</v>
      </c>
      <c r="V4" s="270"/>
      <c r="X4" s="270"/>
    </row>
    <row r="5" spans="1:23" s="271" customFormat="1" ht="21.75" customHeight="1">
      <c r="A5" s="266"/>
      <c r="B5" s="264"/>
      <c r="C5" s="264"/>
      <c r="D5" s="275"/>
      <c r="E5" s="264"/>
      <c r="F5" s="275"/>
      <c r="G5"/>
      <c r="H5"/>
      <c r="I5" s="268"/>
      <c r="J5" s="281"/>
      <c r="K5" s="267"/>
      <c r="L5" s="269"/>
      <c r="M5" s="278">
        <v>50001</v>
      </c>
      <c r="N5" s="277">
        <v>100000</v>
      </c>
      <c r="O5" s="278">
        <v>3000</v>
      </c>
      <c r="P5" s="285">
        <v>0.0265</v>
      </c>
      <c r="Q5" s="286">
        <f>T4</f>
        <v>9010</v>
      </c>
      <c r="R5" s="280">
        <v>0.13568</v>
      </c>
      <c r="S5" s="281">
        <f>((N5-N4)*P5)+O5</f>
        <v>4325</v>
      </c>
      <c r="T5" s="281">
        <f>((N5-N4)*R5)+Q5</f>
        <v>15794</v>
      </c>
      <c r="U5" s="283">
        <f t="shared" si="0"/>
        <v>12071.4</v>
      </c>
      <c r="V5" s="270"/>
      <c r="W5" s="270"/>
    </row>
    <row r="6" spans="1:23" s="271" customFormat="1" ht="21.75" customHeight="1">
      <c r="A6" s="324">
        <v>1</v>
      </c>
      <c r="B6" s="324">
        <v>1000000</v>
      </c>
      <c r="C6" s="319">
        <f>2000/1.8</f>
        <v>1111.111111111111</v>
      </c>
      <c r="D6" s="321">
        <v>0.00019</v>
      </c>
      <c r="E6" s="292">
        <v>250</v>
      </c>
      <c r="F6" s="351">
        <v>1</v>
      </c>
      <c r="G6" s="301"/>
      <c r="H6" s="353"/>
      <c r="I6" s="354">
        <f>E6*100</f>
        <v>25000</v>
      </c>
      <c r="J6" s="281"/>
      <c r="K6" s="267"/>
      <c r="L6" s="279"/>
      <c r="M6" s="278">
        <v>100001</v>
      </c>
      <c r="N6" s="277">
        <v>200000</v>
      </c>
      <c r="O6" s="278">
        <f aca="true" t="shared" si="1" ref="O6:O16">S5</f>
        <v>4325</v>
      </c>
      <c r="P6" s="285">
        <v>0.01431</v>
      </c>
      <c r="Q6" s="286">
        <f>T5</f>
        <v>15794</v>
      </c>
      <c r="R6" s="280">
        <v>0.07685</v>
      </c>
      <c r="S6" s="281">
        <f aca="true" t="shared" si="2" ref="S6:S15">((N6-N5)*P6)+O6</f>
        <v>5756</v>
      </c>
      <c r="T6" s="281">
        <f aca="true" t="shared" si="3" ref="T6:T16">((N6-N5)*R6)+Q6</f>
        <v>23479</v>
      </c>
      <c r="U6" s="283">
        <f t="shared" si="0"/>
        <v>17541</v>
      </c>
      <c r="V6" s="270"/>
      <c r="W6" s="270"/>
    </row>
    <row r="7" spans="1:23" s="271" customFormat="1" ht="21.75" customHeight="1">
      <c r="A7" s="264">
        <v>1000001</v>
      </c>
      <c r="B7" s="264">
        <v>2000000</v>
      </c>
      <c r="C7" s="264">
        <f aca="true" t="shared" si="4" ref="C7:C13">C6+(B6-B5)*D6/1.8</f>
        <v>1216.6666666666667</v>
      </c>
      <c r="D7" s="287">
        <v>0.00016</v>
      </c>
      <c r="E7" s="284">
        <v>277.78</v>
      </c>
      <c r="F7" s="352" t="s">
        <v>591</v>
      </c>
      <c r="G7" s="301"/>
      <c r="H7" s="355"/>
      <c r="I7" s="356">
        <f>E7*100</f>
        <v>27777.999999999996</v>
      </c>
      <c r="J7" s="281"/>
      <c r="K7" s="267"/>
      <c r="L7" s="285"/>
      <c r="M7" s="278">
        <v>200001</v>
      </c>
      <c r="N7" s="277">
        <v>500000</v>
      </c>
      <c r="O7" s="278">
        <f t="shared" si="1"/>
        <v>5756</v>
      </c>
      <c r="P7" s="285">
        <v>0.01367</v>
      </c>
      <c r="Q7" s="286">
        <f aca="true" t="shared" si="5" ref="Q7:Q16">T6</f>
        <v>23479</v>
      </c>
      <c r="R7" s="280">
        <v>0.06837</v>
      </c>
      <c r="S7" s="281">
        <f t="shared" si="2"/>
        <v>9857</v>
      </c>
      <c r="T7" s="281">
        <f t="shared" si="3"/>
        <v>43990</v>
      </c>
      <c r="U7" s="283">
        <f t="shared" si="0"/>
        <v>32308.199999999997</v>
      </c>
      <c r="V7" s="270"/>
      <c r="W7" s="270"/>
    </row>
    <row r="8" spans="1:23" s="271" customFormat="1" ht="21.75" customHeight="1">
      <c r="A8" s="324">
        <v>2000001</v>
      </c>
      <c r="B8" s="324">
        <v>3000000</v>
      </c>
      <c r="C8" s="319">
        <f t="shared" si="4"/>
        <v>1305.5555555555557</v>
      </c>
      <c r="D8" s="320">
        <v>0.0001</v>
      </c>
      <c r="E8" s="292">
        <v>305.56</v>
      </c>
      <c r="F8" s="351" t="s">
        <v>591</v>
      </c>
      <c r="G8" s="301"/>
      <c r="H8" s="355"/>
      <c r="I8" s="356">
        <f>E8*100</f>
        <v>30556</v>
      </c>
      <c r="J8" s="281"/>
      <c r="K8" s="267"/>
      <c r="L8" s="285"/>
      <c r="M8" s="278">
        <v>500001</v>
      </c>
      <c r="N8" s="277">
        <v>1000000</v>
      </c>
      <c r="O8" s="278">
        <f t="shared" si="1"/>
        <v>9857</v>
      </c>
      <c r="P8" s="285">
        <v>0.00954</v>
      </c>
      <c r="Q8" s="286">
        <f t="shared" si="5"/>
        <v>43990</v>
      </c>
      <c r="R8" s="280">
        <v>0.04028</v>
      </c>
      <c r="S8" s="281">
        <f t="shared" si="2"/>
        <v>14627</v>
      </c>
      <c r="T8" s="281">
        <f t="shared" si="3"/>
        <v>64130</v>
      </c>
      <c r="U8" s="283">
        <f t="shared" si="0"/>
        <v>47254.2</v>
      </c>
      <c r="V8" s="270"/>
      <c r="W8" s="270"/>
    </row>
    <row r="9" spans="1:23" s="271" customFormat="1" ht="21.75" customHeight="1">
      <c r="A9" s="264">
        <v>3000001</v>
      </c>
      <c r="B9" s="264">
        <v>5000000</v>
      </c>
      <c r="C9" s="264">
        <f t="shared" si="4"/>
        <v>1361.1111111111113</v>
      </c>
      <c r="D9" s="287">
        <v>7E-05</v>
      </c>
      <c r="E9" s="284">
        <v>333.34</v>
      </c>
      <c r="F9" s="352" t="s">
        <v>591</v>
      </c>
      <c r="G9" s="301"/>
      <c r="H9" s="355"/>
      <c r="I9" s="356">
        <f>E9*100</f>
        <v>33334</v>
      </c>
      <c r="J9" s="281"/>
      <c r="K9" s="267"/>
      <c r="L9" s="285"/>
      <c r="M9" s="278">
        <v>1000001</v>
      </c>
      <c r="N9" s="277">
        <v>2000000</v>
      </c>
      <c r="O9" s="278">
        <f t="shared" si="1"/>
        <v>14627</v>
      </c>
      <c r="P9" s="285">
        <v>0.00689</v>
      </c>
      <c r="Q9" s="286">
        <f t="shared" si="5"/>
        <v>64130</v>
      </c>
      <c r="R9" s="280">
        <v>0.03604</v>
      </c>
      <c r="S9" s="281">
        <f t="shared" si="2"/>
        <v>21517</v>
      </c>
      <c r="T9" s="281">
        <f t="shared" si="3"/>
        <v>100170</v>
      </c>
      <c r="U9" s="283">
        <f t="shared" si="0"/>
        <v>73012.2</v>
      </c>
      <c r="V9" s="270"/>
      <c r="W9" s="270"/>
    </row>
    <row r="10" spans="1:23" s="271" customFormat="1" ht="21.75" customHeight="1">
      <c r="A10" s="324">
        <v>5000001</v>
      </c>
      <c r="B10" s="324">
        <v>7500000</v>
      </c>
      <c r="C10" s="319">
        <f t="shared" si="4"/>
        <v>1438.8888888888891</v>
      </c>
      <c r="D10" s="320">
        <v>3E-05</v>
      </c>
      <c r="E10" s="318">
        <v>361.12</v>
      </c>
      <c r="F10" s="351" t="s">
        <v>591</v>
      </c>
      <c r="G10" s="301"/>
      <c r="H10" s="355"/>
      <c r="I10" s="356">
        <f>E10*100</f>
        <v>36112</v>
      </c>
      <c r="J10" s="281">
        <f aca="true" t="shared" si="6" ref="J10:J15">U10*0.7</f>
        <v>73360.14</v>
      </c>
      <c r="K10" s="297">
        <f aca="true" t="shared" si="7" ref="K10:K16">U10*0.8</f>
        <v>83840.16</v>
      </c>
      <c r="L10" s="285"/>
      <c r="M10" s="278">
        <v>2000001</v>
      </c>
      <c r="N10" s="277">
        <v>5000000</v>
      </c>
      <c r="O10" s="278">
        <f t="shared" si="1"/>
        <v>21517</v>
      </c>
      <c r="P10" s="285">
        <v>0.00375</v>
      </c>
      <c r="Q10" s="286">
        <f t="shared" si="5"/>
        <v>100170</v>
      </c>
      <c r="R10" s="280">
        <v>0.01391</v>
      </c>
      <c r="S10" s="281">
        <f t="shared" si="2"/>
        <v>32767</v>
      </c>
      <c r="T10" s="281">
        <f t="shared" si="3"/>
        <v>141900</v>
      </c>
      <c r="U10" s="283">
        <f>(S10+T10)*0.6</f>
        <v>104800.2</v>
      </c>
      <c r="V10" s="270"/>
      <c r="W10" s="270"/>
    </row>
    <row r="11" spans="1:23" s="271" customFormat="1" ht="21.75" customHeight="1">
      <c r="A11" s="264">
        <v>7500001</v>
      </c>
      <c r="B11" s="264">
        <v>10000000</v>
      </c>
      <c r="C11" s="264">
        <f t="shared" si="4"/>
        <v>1480.5555555555559</v>
      </c>
      <c r="D11" s="287">
        <v>3E-05</v>
      </c>
      <c r="E11" s="264">
        <f>E10*230</f>
        <v>83057.6</v>
      </c>
      <c r="F11" s="287">
        <v>0.0028</v>
      </c>
      <c r="G11" s="301"/>
      <c r="H11" s="263">
        <f aca="true" t="shared" si="8" ref="H11:H16">(B11-B10)*F11</f>
        <v>7000</v>
      </c>
      <c r="I11" s="315">
        <f aca="true" t="shared" si="9" ref="I11:I16">E11+H11</f>
        <v>90057.6</v>
      </c>
      <c r="J11" s="281">
        <f t="shared" si="6"/>
        <v>79298.45</v>
      </c>
      <c r="K11" s="297">
        <f t="shared" si="7"/>
        <v>90626.8</v>
      </c>
      <c r="L11" s="277"/>
      <c r="M11" s="278">
        <v>5000001</v>
      </c>
      <c r="N11" s="314">
        <v>10000000</v>
      </c>
      <c r="O11" s="278">
        <f t="shared" si="1"/>
        <v>32767</v>
      </c>
      <c r="P11" s="285">
        <v>0.00128</v>
      </c>
      <c r="Q11" s="286">
        <f t="shared" si="5"/>
        <v>141900</v>
      </c>
      <c r="R11" s="280">
        <v>0.0091</v>
      </c>
      <c r="S11" s="281">
        <f t="shared" si="2"/>
        <v>39167</v>
      </c>
      <c r="T11" s="281">
        <f t="shared" si="3"/>
        <v>187400</v>
      </c>
      <c r="U11" s="296">
        <f aca="true" t="shared" si="10" ref="U11:U16">(S11+T11)*0.5</f>
        <v>113283.5</v>
      </c>
      <c r="V11" s="270"/>
      <c r="W11" s="270"/>
    </row>
    <row r="12" spans="1:23" s="271" customFormat="1" ht="21.75" customHeight="1">
      <c r="A12" s="324">
        <v>10000001</v>
      </c>
      <c r="B12" s="324">
        <v>30000000</v>
      </c>
      <c r="C12" s="319">
        <f t="shared" si="4"/>
        <v>1522.2222222222226</v>
      </c>
      <c r="D12" s="320">
        <v>1E-05</v>
      </c>
      <c r="E12" s="293">
        <f aca="true" t="shared" si="11" ref="E12:E17">I11</f>
        <v>90057.6</v>
      </c>
      <c r="F12" s="294">
        <v>0.00108</v>
      </c>
      <c r="G12" s="301"/>
      <c r="H12" s="357">
        <f t="shared" si="8"/>
        <v>21600</v>
      </c>
      <c r="I12" s="317">
        <f t="shared" si="9"/>
        <v>111657.6</v>
      </c>
      <c r="J12" s="281">
        <f t="shared" si="6"/>
        <v>100648.45</v>
      </c>
      <c r="K12" s="297">
        <f t="shared" si="7"/>
        <v>115026.8</v>
      </c>
      <c r="L12" s="277"/>
      <c r="M12" s="278">
        <v>10000001</v>
      </c>
      <c r="N12" s="314">
        <v>30000000</v>
      </c>
      <c r="O12" s="278">
        <f t="shared" si="1"/>
        <v>39167</v>
      </c>
      <c r="P12" s="285">
        <v>0.00064</v>
      </c>
      <c r="Q12" s="286">
        <f t="shared" si="5"/>
        <v>187400</v>
      </c>
      <c r="R12" s="280">
        <v>0.00241</v>
      </c>
      <c r="S12" s="281">
        <f t="shared" si="2"/>
        <v>51967</v>
      </c>
      <c r="T12" s="281">
        <f t="shared" si="3"/>
        <v>235600</v>
      </c>
      <c r="U12" s="296">
        <f t="shared" si="10"/>
        <v>143783.5</v>
      </c>
      <c r="V12" s="270"/>
      <c r="W12" s="270"/>
    </row>
    <row r="13" spans="1:23" s="271" customFormat="1" ht="21.75" customHeight="1">
      <c r="A13" s="264">
        <v>30000001</v>
      </c>
      <c r="B13" s="264">
        <v>50000000</v>
      </c>
      <c r="C13" s="264">
        <f t="shared" si="4"/>
        <v>1633.3333333333337</v>
      </c>
      <c r="D13" s="287">
        <v>1E-05</v>
      </c>
      <c r="E13" s="264">
        <f t="shared" si="11"/>
        <v>111657.6</v>
      </c>
      <c r="F13" s="287">
        <v>0.001</v>
      </c>
      <c r="G13" s="301"/>
      <c r="H13" s="263">
        <f t="shared" si="8"/>
        <v>20000</v>
      </c>
      <c r="I13" s="315">
        <f t="shared" si="9"/>
        <v>131657.6</v>
      </c>
      <c r="J13" s="281">
        <f t="shared" si="6"/>
        <v>120738.45</v>
      </c>
      <c r="K13" s="297">
        <f t="shared" si="7"/>
        <v>137986.80000000002</v>
      </c>
      <c r="L13" s="277"/>
      <c r="M13" s="278">
        <v>30000001</v>
      </c>
      <c r="N13" s="314">
        <v>50000000</v>
      </c>
      <c r="O13" s="278">
        <f t="shared" si="1"/>
        <v>51967</v>
      </c>
      <c r="P13" s="285">
        <v>0.00059</v>
      </c>
      <c r="Q13" s="286">
        <f t="shared" si="5"/>
        <v>235600</v>
      </c>
      <c r="R13" s="280">
        <v>0.00228</v>
      </c>
      <c r="S13" s="281">
        <f t="shared" si="2"/>
        <v>63767</v>
      </c>
      <c r="T13" s="281">
        <f t="shared" si="3"/>
        <v>281200</v>
      </c>
      <c r="U13" s="296">
        <f t="shared" si="10"/>
        <v>172483.5</v>
      </c>
      <c r="V13" s="270"/>
      <c r="W13" s="270"/>
    </row>
    <row r="14" spans="1:23" s="271" customFormat="1" ht="21.75" customHeight="1">
      <c r="A14" s="324">
        <v>50000001</v>
      </c>
      <c r="B14" s="324">
        <v>80000000</v>
      </c>
      <c r="C14" s="319">
        <f>C13+(B13-B12)*D13/1.8</f>
        <v>1744.4444444444448</v>
      </c>
      <c r="D14" s="320">
        <v>1E-05</v>
      </c>
      <c r="E14" s="293">
        <f t="shared" si="11"/>
        <v>131657.6</v>
      </c>
      <c r="F14" s="294">
        <v>0.00066</v>
      </c>
      <c r="G14" s="301"/>
      <c r="H14" s="357">
        <f t="shared" si="8"/>
        <v>19800</v>
      </c>
      <c r="I14" s="317">
        <f t="shared" si="9"/>
        <v>151457.6</v>
      </c>
      <c r="J14" s="281">
        <f t="shared" si="6"/>
        <v>140688.44999999998</v>
      </c>
      <c r="K14" s="297">
        <f t="shared" si="7"/>
        <v>160786.80000000002</v>
      </c>
      <c r="L14" s="277"/>
      <c r="M14" s="278">
        <v>50000001</v>
      </c>
      <c r="N14" s="314">
        <v>80000000</v>
      </c>
      <c r="O14" s="278">
        <f t="shared" si="1"/>
        <v>63767</v>
      </c>
      <c r="P14" s="285">
        <v>0.00033</v>
      </c>
      <c r="Q14" s="286">
        <f t="shared" si="5"/>
        <v>281200</v>
      </c>
      <c r="R14" s="280">
        <v>0.00157</v>
      </c>
      <c r="S14" s="281">
        <f t="shared" si="2"/>
        <v>73667</v>
      </c>
      <c r="T14" s="281">
        <f t="shared" si="3"/>
        <v>328300</v>
      </c>
      <c r="U14" s="296">
        <f t="shared" si="10"/>
        <v>200983.5</v>
      </c>
      <c r="V14" s="270"/>
      <c r="W14" s="270"/>
    </row>
    <row r="15" spans="1:23" s="271" customFormat="1" ht="21.75" customHeight="1">
      <c r="A15" s="264">
        <v>80000001</v>
      </c>
      <c r="B15" s="264">
        <v>100000000</v>
      </c>
      <c r="C15" s="264">
        <f>C14+(B14-B13)*D14/1.8</f>
        <v>1911.1111111111115</v>
      </c>
      <c r="D15" s="287">
        <v>1.3E-05</v>
      </c>
      <c r="E15" s="264">
        <f t="shared" si="11"/>
        <v>151457.6</v>
      </c>
      <c r="F15" s="287">
        <v>0.00049</v>
      </c>
      <c r="G15" s="301"/>
      <c r="H15" s="263">
        <f t="shared" si="8"/>
        <v>9800</v>
      </c>
      <c r="I15" s="315">
        <f t="shared" si="9"/>
        <v>161257.6</v>
      </c>
      <c r="J15" s="281">
        <f t="shared" si="6"/>
        <v>150208.44999999998</v>
      </c>
      <c r="K15" s="297">
        <f t="shared" si="7"/>
        <v>171666.80000000002</v>
      </c>
      <c r="L15" s="277"/>
      <c r="M15" s="278">
        <v>80000001</v>
      </c>
      <c r="N15" s="314">
        <v>100000000</v>
      </c>
      <c r="O15" s="278">
        <f t="shared" si="1"/>
        <v>73667</v>
      </c>
      <c r="P15" s="285">
        <v>0.00021</v>
      </c>
      <c r="Q15" s="286">
        <f t="shared" si="5"/>
        <v>328300</v>
      </c>
      <c r="R15" s="280">
        <v>0.00115</v>
      </c>
      <c r="S15" s="281">
        <f t="shared" si="2"/>
        <v>77867</v>
      </c>
      <c r="T15" s="281">
        <f t="shared" si="3"/>
        <v>351300</v>
      </c>
      <c r="U15" s="296">
        <f t="shared" si="10"/>
        <v>214583.5</v>
      </c>
      <c r="V15" s="270"/>
      <c r="W15" s="270"/>
    </row>
    <row r="16" spans="1:23" s="271" customFormat="1" ht="21.75" customHeight="1">
      <c r="A16" s="324">
        <v>100000001</v>
      </c>
      <c r="B16" s="324">
        <v>500000000</v>
      </c>
      <c r="C16" s="319">
        <f>C15+(B15-B14)*D15/1.8</f>
        <v>2055.555555555556</v>
      </c>
      <c r="D16" s="320">
        <v>7E-06</v>
      </c>
      <c r="E16" s="293">
        <f t="shared" si="11"/>
        <v>161257.6</v>
      </c>
      <c r="F16" s="294">
        <v>0.00024</v>
      </c>
      <c r="G16" s="301"/>
      <c r="H16" s="357">
        <f t="shared" si="8"/>
        <v>96000</v>
      </c>
      <c r="I16" s="317">
        <f t="shared" si="9"/>
        <v>257257.6</v>
      </c>
      <c r="J16" s="281">
        <f>U16*0.7</f>
        <v>246808.44999999998</v>
      </c>
      <c r="K16" s="297">
        <f t="shared" si="7"/>
        <v>282066.8</v>
      </c>
      <c r="L16" s="277"/>
      <c r="M16" s="278">
        <v>100000001</v>
      </c>
      <c r="N16" s="314">
        <v>500000000</v>
      </c>
      <c r="O16" s="278">
        <f t="shared" si="1"/>
        <v>77867</v>
      </c>
      <c r="P16" s="285">
        <v>0.00011</v>
      </c>
      <c r="Q16" s="286">
        <f t="shared" si="5"/>
        <v>351300</v>
      </c>
      <c r="R16" s="280">
        <v>0.00058</v>
      </c>
      <c r="S16" s="281">
        <f>((N16-N15)*P16)+O16</f>
        <v>121867</v>
      </c>
      <c r="T16" s="281">
        <f t="shared" si="3"/>
        <v>583300</v>
      </c>
      <c r="U16" s="296">
        <f t="shared" si="10"/>
        <v>352583.5</v>
      </c>
      <c r="V16" s="270"/>
      <c r="W16" s="270"/>
    </row>
    <row r="17" spans="1:23" s="271" customFormat="1" ht="21.75" customHeight="1">
      <c r="A17" s="264" t="s">
        <v>585</v>
      </c>
      <c r="B17" s="264">
        <v>900000000</v>
      </c>
      <c r="C17" s="264">
        <f>C16+(B16-B15)*D16/1.8</f>
        <v>3611.1111111111113</v>
      </c>
      <c r="D17" s="287">
        <v>1E-05</v>
      </c>
      <c r="E17" s="264">
        <f t="shared" si="11"/>
        <v>257257.6</v>
      </c>
      <c r="F17" s="287">
        <v>0.00022</v>
      </c>
      <c r="G17" s="301"/>
      <c r="H17" s="265"/>
      <c r="I17" s="316"/>
      <c r="J17" s="281"/>
      <c r="K17" s="297"/>
      <c r="L17" s="285"/>
      <c r="M17" t="s">
        <v>537</v>
      </c>
      <c r="N17"/>
      <c r="O17">
        <f>S16</f>
        <v>121867</v>
      </c>
      <c r="P17">
        <v>0.0001</v>
      </c>
      <c r="Q17">
        <f>T16</f>
        <v>583300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V18" s="270"/>
      <c r="W18" s="270"/>
    </row>
    <row r="19" spans="7:9" ht="14.25" customHeight="1">
      <c r="G19" s="267"/>
      <c r="H19" s="291"/>
      <c r="I19" s="301"/>
    </row>
    <row r="20" spans="1:12" ht="22.5" customHeight="1">
      <c r="A20" s="652" t="s">
        <v>587</v>
      </c>
      <c r="B20" s="652"/>
      <c r="C20" s="652"/>
      <c r="D20" s="652"/>
      <c r="E20" s="652"/>
      <c r="G20" s="266" t="s">
        <v>545</v>
      </c>
      <c r="H20" s="373" t="s">
        <v>539</v>
      </c>
      <c r="I20" s="266" t="s">
        <v>586</v>
      </c>
      <c r="J20" s="269"/>
      <c r="K20" s="269">
        <f>I16*1.8</f>
        <v>463063.68</v>
      </c>
      <c r="L20" s="269"/>
    </row>
    <row r="21" spans="1:10" ht="22.5" customHeight="1">
      <c r="A21" s="348" t="s">
        <v>554</v>
      </c>
      <c r="B21" s="349">
        <f>B6</f>
        <v>1000000</v>
      </c>
      <c r="C21" s="348"/>
      <c r="D21" s="348"/>
      <c r="E21" s="348"/>
      <c r="G21" s="326">
        <f>IF($B$21&gt;=B5+0.01,IF($B$21&lt;=B6,(E6*100),""),"")</f>
        <v>25000</v>
      </c>
      <c r="H21" s="326">
        <f>IF($B$21&gt;=B5+0.01,IF($B$21&lt;=B6,(E6*250),""),"")</f>
        <v>62500</v>
      </c>
      <c r="I21" s="326">
        <f>IF($B$21&gt;=A6+0.01,IF($B$21&lt;=B6,C6+(($B$21-A6)*D6),""),"")</f>
        <v>1301.110921111111</v>
      </c>
      <c r="J21" s="299"/>
    </row>
    <row r="22" spans="1:12" s="271" customFormat="1" ht="22.5" customHeight="1">
      <c r="A22" s="350" t="s">
        <v>580</v>
      </c>
      <c r="B22" s="350" t="s">
        <v>581</v>
      </c>
      <c r="C22" s="350" t="s">
        <v>582</v>
      </c>
      <c r="D22" s="350" t="s">
        <v>583</v>
      </c>
      <c r="E22" s="350" t="s">
        <v>590</v>
      </c>
      <c r="G22" s="326">
        <f>IF($B$21&gt;=B6+0.01,IF($B$21&lt;=B7,(E7*100),""),"")</f>
      </c>
      <c r="H22" s="326">
        <f>IF($B$21&gt;=B6+0.01,IF($B$21&lt;=B7,(E7*250),""),"")</f>
      </c>
      <c r="I22" s="326">
        <f aca="true" t="shared" si="12" ref="I22:I32">IF($B$21&gt;=B6+0.01,IF($B$21&lt;=B7,C7+(($B$21-B6)*D7),""),"")</f>
      </c>
      <c r="J22" s="269"/>
      <c r="K22" s="269"/>
      <c r="L22" s="269"/>
    </row>
    <row r="23" spans="1:12" s="271" customFormat="1" ht="22.5" customHeight="1">
      <c r="A23" s="348" t="s">
        <v>589</v>
      </c>
      <c r="B23" s="348">
        <f>SUM(G21:G25)</f>
        <v>25000</v>
      </c>
      <c r="C23" s="348">
        <f>B23</f>
        <v>25000</v>
      </c>
      <c r="D23" s="348">
        <f>B23</f>
        <v>25000</v>
      </c>
      <c r="E23" s="348">
        <f>SUM(B23:D23)</f>
        <v>75000</v>
      </c>
      <c r="G23" s="326">
        <f>IF($B$21&gt;=B7+0.01,IF($B$21&lt;=B8,(E8*100),""),"")</f>
      </c>
      <c r="H23" s="326">
        <f>IF($B$21&gt;=B7+0.01,IF($B$21&lt;=B8,(E8*250),""),"")</f>
      </c>
      <c r="I23" s="326">
        <f t="shared" si="12"/>
      </c>
      <c r="J23" s="269"/>
      <c r="K23" s="269"/>
      <c r="L23" s="298"/>
    </row>
    <row r="24" spans="1:12" s="271" customFormat="1" ht="22.5" customHeight="1">
      <c r="A24" s="348" t="s">
        <v>554</v>
      </c>
      <c r="B24" s="348">
        <f>SUM(H26:H32)</f>
        <v>0</v>
      </c>
      <c r="C24" s="348">
        <f>B24*0.91</f>
        <v>0</v>
      </c>
      <c r="D24" s="348">
        <f>(B24-C24)+B24</f>
        <v>0</v>
      </c>
      <c r="E24" s="348">
        <f>SUM(B24:D24)</f>
        <v>0</v>
      </c>
      <c r="G24" s="326">
        <f>IF($B$21&gt;=B8+0.01,IF($B$21&lt;=B9,(E9*100),""),"")</f>
      </c>
      <c r="H24" s="326">
        <f>IF($B$21&gt;=B8+0.01,IF($B$21&lt;=B9,(E9*250),""),"")</f>
      </c>
      <c r="I24" s="326">
        <f t="shared" si="12"/>
      </c>
      <c r="J24" s="269"/>
      <c r="K24" s="269"/>
      <c r="L24" s="269"/>
    </row>
    <row r="25" spans="1:12" s="271" customFormat="1" ht="22.5" customHeight="1">
      <c r="A25" s="266" t="s">
        <v>586</v>
      </c>
      <c r="B25" s="348">
        <f>SUM(I21:I32)</f>
        <v>1301.110921111111</v>
      </c>
      <c r="C25" s="284">
        <v>15</v>
      </c>
      <c r="D25" s="266"/>
      <c r="E25" s="347">
        <f>B25*C25</f>
        <v>19516.663816666667</v>
      </c>
      <c r="G25" s="326">
        <f>IF($B$21&gt;=B9+0.01,IF($B$21&lt;=B10,(E10*100),""),"")</f>
      </c>
      <c r="H25" s="326">
        <f>IF($B$21&gt;=B9+0.01,IF($B$21&lt;=B10,(E10*250),""),"")</f>
      </c>
      <c r="I25" s="326">
        <f t="shared" si="12"/>
      </c>
      <c r="J25" s="269"/>
      <c r="K25" s="269"/>
      <c r="L25" s="269"/>
    </row>
    <row r="26" spans="7:12" s="271" customFormat="1" ht="21.75" customHeight="1">
      <c r="G26" s="325">
        <f aca="true" t="shared" si="13" ref="G26:G32">IF($B$21&gt;=B10+0.01,IF($B$21&lt;=B11,E10,""),"")</f>
      </c>
      <c r="H26" s="325">
        <f aca="true" t="shared" si="14" ref="H26:H32">IF($B$21&gt;=B10+0.01,IF($B$21&lt;=B11,E11+(($B$21-B10)*F11),""),"")</f>
      </c>
      <c r="I26" s="325">
        <f t="shared" si="12"/>
      </c>
      <c r="J26" s="269"/>
      <c r="K26" s="269"/>
      <c r="L26" s="269"/>
    </row>
    <row r="27" spans="7:12" s="271" customFormat="1" ht="21.75" customHeight="1">
      <c r="G27" s="325">
        <f t="shared" si="13"/>
      </c>
      <c r="H27" s="325">
        <f t="shared" si="14"/>
      </c>
      <c r="I27" s="325">
        <f t="shared" si="12"/>
      </c>
      <c r="J27" s="269"/>
      <c r="K27" s="269"/>
      <c r="L27" s="269"/>
    </row>
    <row r="28" spans="7:12" s="271" customFormat="1" ht="21.75" customHeight="1">
      <c r="G28" s="325">
        <f t="shared" si="13"/>
      </c>
      <c r="H28" s="325">
        <f t="shared" si="14"/>
      </c>
      <c r="I28" s="325">
        <f t="shared" si="12"/>
      </c>
      <c r="J28" s="269"/>
      <c r="K28" s="269"/>
      <c r="L28" s="269"/>
    </row>
    <row r="29" spans="7:12" s="271" customFormat="1" ht="21.75" customHeight="1">
      <c r="G29" s="325">
        <f t="shared" si="13"/>
      </c>
      <c r="H29" s="325">
        <f t="shared" si="14"/>
      </c>
      <c r="I29" s="325">
        <f t="shared" si="12"/>
      </c>
      <c r="J29" s="269"/>
      <c r="K29" s="269"/>
      <c r="L29" s="269"/>
    </row>
    <row r="30" spans="7:12" s="271" customFormat="1" ht="21.75" customHeight="1">
      <c r="G30" s="325">
        <f t="shared" si="13"/>
      </c>
      <c r="H30" s="325">
        <f t="shared" si="14"/>
      </c>
      <c r="I30" s="325">
        <f t="shared" si="12"/>
      </c>
      <c r="J30" s="269"/>
      <c r="K30" s="269"/>
      <c r="L30" s="269"/>
    </row>
    <row r="31" spans="7:12" s="271" customFormat="1" ht="21.75" customHeight="1">
      <c r="G31" s="325">
        <f t="shared" si="13"/>
      </c>
      <c r="H31" s="325">
        <f t="shared" si="14"/>
      </c>
      <c r="I31" s="325">
        <f t="shared" si="12"/>
      </c>
      <c r="J31" s="269"/>
      <c r="K31" s="269"/>
      <c r="L31" s="269"/>
    </row>
    <row r="32" spans="7:12" s="271" customFormat="1" ht="21.75" customHeight="1">
      <c r="G32" s="325">
        <f t="shared" si="13"/>
      </c>
      <c r="H32" s="325">
        <f t="shared" si="14"/>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653" t="s">
        <v>548</v>
      </c>
      <c r="B35" s="654"/>
      <c r="C35" s="654"/>
      <c r="D35" s="654"/>
      <c r="E35" s="654"/>
      <c r="F35" s="654"/>
      <c r="G35" s="655"/>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3"/>
      <c r="C37" s="335">
        <v>26924</v>
      </c>
      <c r="D37" s="336">
        <f>I6*2</f>
        <v>50000</v>
      </c>
      <c r="E37" s="341">
        <f>D37-C37</f>
        <v>23076</v>
      </c>
      <c r="F37" s="329">
        <v>14165</v>
      </c>
      <c r="G37" s="330">
        <f>((500000-50000)*D6+C6)*15</f>
        <v>17949.166666666668</v>
      </c>
      <c r="H37" s="267">
        <f>G37-F37</f>
        <v>3784.166666666668</v>
      </c>
      <c r="I37" s="322">
        <f aca="true" t="shared" si="15" ref="I37:I44">D37/C37</f>
        <v>1.857079185856485</v>
      </c>
      <c r="J37" s="269"/>
      <c r="K37" s="269"/>
      <c r="L37" s="269"/>
      <c r="M37" s="270"/>
      <c r="N37" s="270"/>
    </row>
    <row r="38" spans="1:14" s="271" customFormat="1" ht="21.75" customHeight="1">
      <c r="A38" s="342">
        <v>1000000</v>
      </c>
      <c r="B38" s="343"/>
      <c r="C38" s="335">
        <v>39379</v>
      </c>
      <c r="D38" s="336">
        <f>E7*100*2</f>
        <v>55555.99999999999</v>
      </c>
      <c r="E38" s="341">
        <f aca="true" t="shared" si="16" ref="E38:E44">D38-C38</f>
        <v>16176.999999999993</v>
      </c>
      <c r="F38" s="329">
        <v>21715</v>
      </c>
      <c r="G38" s="330">
        <f>C7*15</f>
        <v>18250</v>
      </c>
      <c r="H38" s="267">
        <f aca="true" t="shared" si="17" ref="H38:H44">G38-F38</f>
        <v>-3465</v>
      </c>
      <c r="I38" s="322">
        <f t="shared" si="15"/>
        <v>1.4108027121054367</v>
      </c>
      <c r="J38" s="269"/>
      <c r="K38" s="269"/>
      <c r="L38" s="269"/>
      <c r="M38" s="270"/>
      <c r="N38" s="270"/>
    </row>
    <row r="39" spans="1:14" s="271" customFormat="1" ht="21.75" customHeight="1">
      <c r="A39" s="344">
        <v>5000000</v>
      </c>
      <c r="B39" s="343"/>
      <c r="C39" s="335">
        <v>87334</v>
      </c>
      <c r="D39" s="336">
        <f>I9*2</f>
        <v>66668</v>
      </c>
      <c r="E39" s="341">
        <f t="shared" si="16"/>
        <v>-20666</v>
      </c>
      <c r="F39" s="329">
        <v>45015</v>
      </c>
      <c r="G39" s="330">
        <f>C10*15</f>
        <v>21583.333333333336</v>
      </c>
      <c r="H39" s="267">
        <f t="shared" si="17"/>
        <v>-23431.666666666664</v>
      </c>
      <c r="I39" s="322">
        <f t="shared" si="15"/>
        <v>0.7633682185632171</v>
      </c>
      <c r="J39" s="269"/>
      <c r="K39" s="269"/>
      <c r="L39" s="269"/>
      <c r="M39" s="270"/>
      <c r="N39" s="270"/>
    </row>
    <row r="40" spans="1:14" s="271" customFormat="1" ht="21.75" customHeight="1">
      <c r="A40" s="344">
        <v>7500000</v>
      </c>
      <c r="B40" s="343"/>
      <c r="C40" s="335">
        <v>100309</v>
      </c>
      <c r="D40" s="336">
        <f>I10</f>
        <v>36112</v>
      </c>
      <c r="E40" s="341">
        <f t="shared" si="16"/>
        <v>-64197</v>
      </c>
      <c r="F40" s="329">
        <v>51265</v>
      </c>
      <c r="G40" s="330">
        <f>C11*15</f>
        <v>22208.33333333334</v>
      </c>
      <c r="H40" s="267">
        <f t="shared" si="17"/>
        <v>-29056.66666666666</v>
      </c>
      <c r="I40" s="322">
        <f t="shared" si="15"/>
        <v>0.36000757658834204</v>
      </c>
      <c r="J40" s="269"/>
      <c r="K40" s="269"/>
      <c r="L40" s="269"/>
      <c r="M40" s="270"/>
      <c r="N40" s="270"/>
    </row>
    <row r="41" spans="1:14" s="271" customFormat="1" ht="21.75" customHeight="1">
      <c r="A41" s="344">
        <v>10000000</v>
      </c>
      <c r="B41" s="343"/>
      <c r="C41" s="335">
        <v>113284</v>
      </c>
      <c r="D41" s="336">
        <f>I11</f>
        <v>90057.6</v>
      </c>
      <c r="E41" s="341">
        <f t="shared" si="16"/>
        <v>-23226.399999999994</v>
      </c>
      <c r="F41" s="329">
        <v>57515</v>
      </c>
      <c r="G41" s="330">
        <f>C12*15</f>
        <v>22833.33333333334</v>
      </c>
      <c r="H41" s="267">
        <f t="shared" si="17"/>
        <v>-34681.66666666666</v>
      </c>
      <c r="I41" s="322">
        <f t="shared" si="15"/>
        <v>0.7949719289573108</v>
      </c>
      <c r="J41" s="269"/>
      <c r="K41" s="269"/>
      <c r="L41" s="269"/>
      <c r="M41" s="270"/>
      <c r="N41" s="270"/>
    </row>
    <row r="42" spans="1:14" s="271" customFormat="1" ht="21.75" customHeight="1">
      <c r="A42" s="344">
        <v>30000000</v>
      </c>
      <c r="B42" s="343"/>
      <c r="C42" s="335">
        <v>143784</v>
      </c>
      <c r="D42" s="336">
        <f>I12</f>
        <v>111657.6</v>
      </c>
      <c r="E42" s="341">
        <f t="shared" si="16"/>
        <v>-32126.399999999994</v>
      </c>
      <c r="F42" s="329">
        <v>77515</v>
      </c>
      <c r="G42" s="330">
        <f>C13*15</f>
        <v>24500.000000000007</v>
      </c>
      <c r="H42" s="267">
        <f t="shared" si="17"/>
        <v>-53014.99999999999</v>
      </c>
      <c r="I42" s="322">
        <f t="shared" si="15"/>
        <v>0.7765648472709064</v>
      </c>
      <c r="J42" s="269"/>
      <c r="K42" s="269"/>
      <c r="L42" s="269"/>
      <c r="M42" s="270"/>
      <c r="N42" s="270"/>
    </row>
    <row r="43" spans="1:14" s="271" customFormat="1" ht="21.75" customHeight="1">
      <c r="A43" s="344">
        <v>50000000</v>
      </c>
      <c r="B43" s="343"/>
      <c r="C43" s="335">
        <v>172484</v>
      </c>
      <c r="D43" s="336">
        <f>I13</f>
        <v>131657.6</v>
      </c>
      <c r="E43" s="341">
        <f t="shared" si="16"/>
        <v>-40826.399999999994</v>
      </c>
      <c r="F43" s="329">
        <v>95515</v>
      </c>
      <c r="G43" s="330">
        <f>C14*15</f>
        <v>26166.66666666667</v>
      </c>
      <c r="H43" s="267">
        <f t="shared" si="17"/>
        <v>-69348.33333333333</v>
      </c>
      <c r="I43" s="322">
        <f t="shared" si="15"/>
        <v>0.7633032629113425</v>
      </c>
      <c r="J43" s="269"/>
      <c r="K43" s="269"/>
      <c r="L43" s="269"/>
      <c r="M43" s="270"/>
      <c r="N43" s="270"/>
    </row>
    <row r="44" spans="1:14" s="271" customFormat="1" ht="21.75" customHeight="1">
      <c r="A44" s="265">
        <v>100000000</v>
      </c>
      <c r="B44" s="345"/>
      <c r="C44" s="337">
        <v>214584</v>
      </c>
      <c r="D44" s="338">
        <f>I15</f>
        <v>161257.6</v>
      </c>
      <c r="E44" s="346">
        <f t="shared" si="16"/>
        <v>-53326.399999999994</v>
      </c>
      <c r="F44" s="331">
        <v>99215</v>
      </c>
      <c r="G44" s="332">
        <f>C16*15</f>
        <v>30833.333333333343</v>
      </c>
      <c r="H44" s="267">
        <f t="shared" si="17"/>
        <v>-68381.66666666666</v>
      </c>
      <c r="I44" s="322">
        <f t="shared" si="15"/>
        <v>0.7514893934310107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6.xml><?xml version="1.0" encoding="utf-8"?>
<worksheet xmlns="http://schemas.openxmlformats.org/spreadsheetml/2006/main" xmlns:r="http://schemas.openxmlformats.org/officeDocument/2006/relationships">
  <dimension ref="A1:AH173"/>
  <sheetViews>
    <sheetView workbookViewId="0" topLeftCell="A1">
      <selection activeCell="E18" sqref="E18"/>
    </sheetView>
  </sheetViews>
  <sheetFormatPr defaultColWidth="9.140625" defaultRowHeight="15" customHeight="1"/>
  <cols>
    <col min="1" max="1" width="10.7109375" style="374" customWidth="1"/>
    <col min="2" max="2" width="10.421875" style="374" customWidth="1"/>
    <col min="3" max="3" width="9.00390625" style="374" customWidth="1"/>
    <col min="4" max="4" width="10.421875" style="374" customWidth="1"/>
    <col min="5" max="5" width="12.00390625" style="375" customWidth="1"/>
    <col min="6" max="6" width="11.00390625" style="374" customWidth="1"/>
    <col min="7" max="7" width="11.140625" style="374" customWidth="1"/>
    <col min="8" max="8" width="9.421875" style="374" bestFit="1" customWidth="1"/>
    <col min="9" max="9" width="10.00390625" style="374" bestFit="1" customWidth="1"/>
    <col min="10" max="10" width="10.140625" style="374" customWidth="1"/>
    <col min="11" max="11" width="8.421875" style="374" customWidth="1"/>
    <col min="12" max="12" width="8.00390625" style="374" customWidth="1"/>
    <col min="13" max="13" width="9.00390625" style="374" customWidth="1"/>
    <col min="14" max="14" width="10.28125" style="376" customWidth="1"/>
    <col min="15" max="15" width="2.421875" style="374" customWidth="1"/>
    <col min="16" max="16" width="11.28125" style="374" bestFit="1" customWidth="1"/>
    <col min="17" max="17" width="9.28125" style="374" customWidth="1"/>
    <col min="18" max="18" width="8.28125" style="374" customWidth="1"/>
    <col min="19" max="19" width="9.28125" style="374" customWidth="1"/>
    <col min="20" max="20" width="3.28125" style="374" customWidth="1"/>
    <col min="21" max="21" width="12.28125" style="374" customWidth="1"/>
    <col min="22" max="22" width="10.7109375" style="374" bestFit="1" customWidth="1"/>
    <col min="23" max="23" width="7.7109375" style="374" bestFit="1" customWidth="1"/>
    <col min="24" max="24" width="7.28125" style="374" bestFit="1" customWidth="1"/>
    <col min="25" max="25" width="7.7109375" style="374" bestFit="1" customWidth="1"/>
    <col min="26" max="26" width="8.140625" style="374" bestFit="1" customWidth="1"/>
    <col min="27" max="27" width="8.00390625" style="374" bestFit="1" customWidth="1"/>
    <col min="28" max="28" width="8.140625" style="374" bestFit="1" customWidth="1"/>
    <col min="29" max="29" width="8.00390625" style="376" bestFit="1" customWidth="1"/>
    <col min="30" max="30" width="9.140625" style="374" bestFit="1" customWidth="1"/>
    <col min="31" max="31" width="9.8515625" style="374" bestFit="1" customWidth="1"/>
    <col min="32" max="32" width="5.140625" style="374" bestFit="1" customWidth="1"/>
    <col min="33" max="33" width="7.28125" style="374" bestFit="1" customWidth="1"/>
    <col min="34" max="34" width="8.140625" style="374" bestFit="1" customWidth="1"/>
    <col min="35" max="16384" width="9.140625" style="374" customWidth="1"/>
  </cols>
  <sheetData>
    <row r="1" spans="6:26" ht="15" customHeight="1">
      <c r="F1" s="677" t="s">
        <v>605</v>
      </c>
      <c r="G1" s="678"/>
      <c r="H1" s="678"/>
      <c r="I1" s="678"/>
      <c r="J1" s="678"/>
      <c r="K1" s="678"/>
      <c r="U1" s="677" t="s">
        <v>561</v>
      </c>
      <c r="V1" s="678"/>
      <c r="W1" s="678"/>
      <c r="X1" s="678"/>
      <c r="Y1" s="678"/>
      <c r="Z1" s="678"/>
    </row>
    <row r="3" spans="7:23" ht="15" customHeight="1">
      <c r="G3" s="377"/>
      <c r="H3" s="378"/>
      <c r="U3" s="374" t="s">
        <v>594</v>
      </c>
      <c r="V3" s="377">
        <v>1.8</v>
      </c>
      <c r="W3" s="378"/>
    </row>
    <row r="4" spans="1:34" s="377" customFormat="1" ht="15" customHeight="1">
      <c r="A4" s="375" t="s">
        <v>542</v>
      </c>
      <c r="B4" s="375"/>
      <c r="C4" s="375"/>
      <c r="D4" s="375"/>
      <c r="E4" s="375"/>
      <c r="F4" s="374" t="s">
        <v>614</v>
      </c>
      <c r="G4" s="378"/>
      <c r="H4" s="378"/>
      <c r="I4" s="378"/>
      <c r="J4" s="378"/>
      <c r="K4" s="378"/>
      <c r="L4" s="378"/>
      <c r="M4" s="378"/>
      <c r="N4" s="379"/>
      <c r="O4" s="378"/>
      <c r="P4" s="378"/>
      <c r="Q4" s="378"/>
      <c r="R4" s="378"/>
      <c r="S4" s="378"/>
      <c r="T4" s="380"/>
      <c r="U4" s="374"/>
      <c r="V4" s="378" t="s">
        <v>597</v>
      </c>
      <c r="W4" s="378" t="s">
        <v>600</v>
      </c>
      <c r="X4" s="378"/>
      <c r="Y4" s="378"/>
      <c r="Z4" s="378"/>
      <c r="AA4" s="378">
        <v>1</v>
      </c>
      <c r="AB4" s="378"/>
      <c r="AC4" s="379"/>
      <c r="AD4" s="378"/>
      <c r="AE4" s="378"/>
      <c r="AF4" s="378"/>
      <c r="AG4" s="378"/>
      <c r="AH4" s="378"/>
    </row>
    <row r="5" spans="1:32" s="377" customFormat="1" ht="15" customHeight="1">
      <c r="A5" s="381" t="s">
        <v>559</v>
      </c>
      <c r="B5" s="381"/>
      <c r="C5" s="382" t="s">
        <v>543</v>
      </c>
      <c r="D5" s="382"/>
      <c r="E5" s="375"/>
      <c r="F5" s="675" t="s">
        <v>540</v>
      </c>
      <c r="G5" s="676"/>
      <c r="H5" s="675" t="s">
        <v>538</v>
      </c>
      <c r="I5" s="676"/>
      <c r="J5" s="675" t="s">
        <v>539</v>
      </c>
      <c r="K5" s="676"/>
      <c r="L5" s="381" t="s">
        <v>536</v>
      </c>
      <c r="M5" s="385" t="s">
        <v>601</v>
      </c>
      <c r="N5" s="386" t="s">
        <v>546</v>
      </c>
      <c r="O5" s="387"/>
      <c r="P5" s="388" t="s">
        <v>536</v>
      </c>
      <c r="Q5" s="388">
        <v>1</v>
      </c>
      <c r="T5" s="380"/>
      <c r="U5" s="383" t="s">
        <v>540</v>
      </c>
      <c r="V5" s="384"/>
      <c r="W5" s="383" t="s">
        <v>538</v>
      </c>
      <c r="X5" s="384"/>
      <c r="Y5" s="383" t="s">
        <v>539</v>
      </c>
      <c r="Z5" s="384"/>
      <c r="AA5" s="387" t="s">
        <v>538</v>
      </c>
      <c r="AB5" s="387" t="s">
        <v>539</v>
      </c>
      <c r="AC5" s="387" t="s">
        <v>601</v>
      </c>
      <c r="AD5" s="387"/>
      <c r="AE5" s="388" t="s">
        <v>536</v>
      </c>
      <c r="AF5" s="388">
        <v>1</v>
      </c>
    </row>
    <row r="6" spans="1:34" s="377" customFormat="1" ht="15" customHeight="1">
      <c r="A6" s="389">
        <v>1</v>
      </c>
      <c r="B6" s="390">
        <f>50000*1.8</f>
        <v>90000</v>
      </c>
      <c r="C6" s="540">
        <f>B6*D6</f>
        <v>2250</v>
      </c>
      <c r="D6" s="392">
        <v>0.025</v>
      </c>
      <c r="E6" s="541">
        <f>C6*24</f>
        <v>54000</v>
      </c>
      <c r="F6" s="389">
        <v>1</v>
      </c>
      <c r="G6" s="390">
        <f>50000*1.8</f>
        <v>90000</v>
      </c>
      <c r="H6" s="393">
        <f aca="true" t="shared" si="0" ref="H6:H12">M6*100</f>
        <v>45000</v>
      </c>
      <c r="I6" s="394">
        <f aca="true" t="shared" si="1" ref="I6:I19">R6*Q6</f>
        <v>0.06</v>
      </c>
      <c r="J6" s="395">
        <f>M6*N6</f>
        <v>112500</v>
      </c>
      <c r="K6" s="396">
        <f>S6*Q6</f>
        <v>0.1802</v>
      </c>
      <c r="L6" s="397">
        <f aca="true" t="shared" si="2" ref="L6:L19">(H6+J6)/2</f>
        <v>78750</v>
      </c>
      <c r="M6" s="398">
        <v>450</v>
      </c>
      <c r="N6" s="399">
        <v>250</v>
      </c>
      <c r="O6" s="400"/>
      <c r="P6" s="401"/>
      <c r="Q6" s="401">
        <f>Q5</f>
        <v>1</v>
      </c>
      <c r="R6" s="402">
        <f>6%</f>
        <v>0.06</v>
      </c>
      <c r="S6" s="403">
        <f>18.02%</f>
        <v>0.1802</v>
      </c>
      <c r="T6" s="380"/>
      <c r="U6" s="404"/>
      <c r="V6" s="390">
        <f>50000</f>
        <v>50000</v>
      </c>
      <c r="W6" s="405">
        <f>AA6</f>
        <v>3000</v>
      </c>
      <c r="X6" s="402">
        <f>AG6/AF6</f>
        <v>0.06</v>
      </c>
      <c r="Y6" s="406">
        <f>AB6</f>
        <v>9010</v>
      </c>
      <c r="Z6" s="403">
        <f>AH6/AF6</f>
        <v>0.1802</v>
      </c>
      <c r="AA6" s="393">
        <f>(V6)*X6</f>
        <v>3000</v>
      </c>
      <c r="AB6" s="407">
        <f>Z6*V6</f>
        <v>9010</v>
      </c>
      <c r="AC6" s="408">
        <v>450</v>
      </c>
      <c r="AD6" s="400"/>
      <c r="AE6" s="401">
        <f>(AA6+AB6)*0.5</f>
        <v>6005</v>
      </c>
      <c r="AF6" s="401">
        <f>AF5</f>
        <v>1</v>
      </c>
      <c r="AG6" s="402">
        <f>6%</f>
        <v>0.06</v>
      </c>
      <c r="AH6" s="403">
        <f>18.02%</f>
        <v>0.1802</v>
      </c>
    </row>
    <row r="7" spans="1:34" s="377" customFormat="1" ht="15" customHeight="1">
      <c r="A7" s="389">
        <f>B6+1</f>
        <v>90001</v>
      </c>
      <c r="B7" s="390">
        <f>100000*1.8</f>
        <v>180000</v>
      </c>
      <c r="C7" s="540">
        <f aca="true" t="shared" si="3" ref="C7:C18">C6+(B7-B6)*D7</f>
        <v>2700</v>
      </c>
      <c r="D7" s="392">
        <v>0.005</v>
      </c>
      <c r="E7" s="541">
        <f aca="true" t="shared" si="4" ref="E7:E19">C7*24</f>
        <v>64800</v>
      </c>
      <c r="F7" s="389">
        <f>G6+1</f>
        <v>90001</v>
      </c>
      <c r="G7" s="390">
        <f>100000*1.8</f>
        <v>180000</v>
      </c>
      <c r="H7" s="393">
        <f t="shared" si="0"/>
        <v>45500</v>
      </c>
      <c r="I7" s="394">
        <f t="shared" si="1"/>
        <v>0.0265</v>
      </c>
      <c r="J7" s="395">
        <f aca="true" t="shared" si="5" ref="J7:J12">M7*N7</f>
        <v>113750</v>
      </c>
      <c r="K7" s="396">
        <f aca="true" t="shared" si="6" ref="K7:K12">S7*Q7</f>
        <v>0.13568</v>
      </c>
      <c r="L7" s="397">
        <f t="shared" si="2"/>
        <v>79625</v>
      </c>
      <c r="M7" s="409">
        <v>455</v>
      </c>
      <c r="N7" s="399">
        <v>250</v>
      </c>
      <c r="O7" s="400"/>
      <c r="P7" s="401">
        <f aca="true" t="shared" si="7" ref="P7:P19">(H7+J7)*0.5</f>
        <v>79625</v>
      </c>
      <c r="Q7" s="401">
        <f aca="true" t="shared" si="8" ref="Q7:Q19">Q6</f>
        <v>1</v>
      </c>
      <c r="R7" s="410">
        <v>0.0265</v>
      </c>
      <c r="S7" s="403">
        <v>0.13568</v>
      </c>
      <c r="T7" s="380"/>
      <c r="U7" s="390">
        <f>V6+1</f>
        <v>50001</v>
      </c>
      <c r="V7" s="390">
        <f>100000</f>
        <v>100000</v>
      </c>
      <c r="W7" s="405">
        <f>AA6</f>
        <v>3000</v>
      </c>
      <c r="X7" s="402">
        <f aca="true" t="shared" si="9" ref="X7:X19">AG7/AF7</f>
        <v>0.0265</v>
      </c>
      <c r="Y7" s="411">
        <f>AB6</f>
        <v>9010</v>
      </c>
      <c r="Z7" s="403">
        <f aca="true" t="shared" si="10" ref="Z7:Z19">AH7/AF7</f>
        <v>0.13568</v>
      </c>
      <c r="AA7" s="393">
        <f>(((V7-V6)*X7)+W7)</f>
        <v>4325</v>
      </c>
      <c r="AB7" s="393">
        <f>(((V7-V6)*Z7)+Y7)</f>
        <v>15794</v>
      </c>
      <c r="AC7" s="412">
        <v>455</v>
      </c>
      <c r="AD7" s="400"/>
      <c r="AE7" s="401">
        <f aca="true" t="shared" si="11" ref="AE7:AE18">(AA7+AB7)*0.5</f>
        <v>10059.5</v>
      </c>
      <c r="AF7" s="401">
        <f aca="true" t="shared" si="12" ref="AF7:AF19">AF6</f>
        <v>1</v>
      </c>
      <c r="AG7" s="410">
        <v>0.0265</v>
      </c>
      <c r="AH7" s="403">
        <v>0.13568</v>
      </c>
    </row>
    <row r="8" spans="1:34" s="377" customFormat="1" ht="15" customHeight="1">
      <c r="A8" s="390">
        <f aca="true" t="shared" si="13" ref="A8:A19">B7+1</f>
        <v>180001</v>
      </c>
      <c r="B8" s="390">
        <f>200000*1.8</f>
        <v>360000</v>
      </c>
      <c r="C8" s="540">
        <f t="shared" si="3"/>
        <v>2970</v>
      </c>
      <c r="D8" s="413">
        <v>0.0015</v>
      </c>
      <c r="E8" s="541">
        <f t="shared" si="4"/>
        <v>71280</v>
      </c>
      <c r="F8" s="389">
        <f aca="true" t="shared" si="14" ref="F8:F19">G7+1</f>
        <v>180001</v>
      </c>
      <c r="G8" s="390">
        <f>200000*1.8</f>
        <v>360000</v>
      </c>
      <c r="H8" s="393">
        <f t="shared" si="0"/>
        <v>47500</v>
      </c>
      <c r="I8" s="394">
        <f t="shared" si="1"/>
        <v>0.01431</v>
      </c>
      <c r="J8" s="395">
        <f t="shared" si="5"/>
        <v>118750</v>
      </c>
      <c r="K8" s="396">
        <f t="shared" si="6"/>
        <v>0.07685</v>
      </c>
      <c r="L8" s="397">
        <f t="shared" si="2"/>
        <v>83125</v>
      </c>
      <c r="M8" s="409">
        <v>475</v>
      </c>
      <c r="N8" s="399">
        <v>250</v>
      </c>
      <c r="O8" s="400"/>
      <c r="P8" s="401">
        <f t="shared" si="7"/>
        <v>83125</v>
      </c>
      <c r="Q8" s="401">
        <f t="shared" si="8"/>
        <v>1</v>
      </c>
      <c r="R8" s="410">
        <v>0.01431</v>
      </c>
      <c r="S8" s="403">
        <v>0.07685</v>
      </c>
      <c r="T8" s="380"/>
      <c r="U8" s="390">
        <f aca="true" t="shared" si="15" ref="U8:U19">V7+1</f>
        <v>100001</v>
      </c>
      <c r="V8" s="390">
        <f>200000</f>
        <v>200000</v>
      </c>
      <c r="W8" s="405">
        <f aca="true" t="shared" si="16" ref="W8:W18">AA7</f>
        <v>4325</v>
      </c>
      <c r="X8" s="402">
        <f t="shared" si="9"/>
        <v>0.01431</v>
      </c>
      <c r="Y8" s="411">
        <f>AB7</f>
        <v>15794</v>
      </c>
      <c r="Z8" s="403">
        <f t="shared" si="10"/>
        <v>0.07685</v>
      </c>
      <c r="AA8" s="393">
        <f aca="true" t="shared" si="17" ref="AA8:AA18">(((V8-V7)*X8)+W8)</f>
        <v>5756</v>
      </c>
      <c r="AB8" s="393">
        <f aca="true" t="shared" si="18" ref="AB8:AB18">(((V8-V7)*Z8)+Y8)</f>
        <v>23479</v>
      </c>
      <c r="AC8" s="412">
        <v>475</v>
      </c>
      <c r="AD8" s="400"/>
      <c r="AE8" s="401">
        <f t="shared" si="11"/>
        <v>14617.5</v>
      </c>
      <c r="AF8" s="401">
        <f t="shared" si="12"/>
        <v>1</v>
      </c>
      <c r="AG8" s="410">
        <v>0.01431</v>
      </c>
      <c r="AH8" s="403">
        <v>0.07685</v>
      </c>
    </row>
    <row r="9" spans="1:34" s="377" customFormat="1" ht="15" customHeight="1">
      <c r="A9" s="390">
        <f t="shared" si="13"/>
        <v>360001</v>
      </c>
      <c r="B9" s="390">
        <f>500000*1.8</f>
        <v>900000</v>
      </c>
      <c r="C9" s="540">
        <f t="shared" si="3"/>
        <v>3510</v>
      </c>
      <c r="D9" s="413">
        <v>0.001</v>
      </c>
      <c r="E9" s="541">
        <f t="shared" si="4"/>
        <v>84240</v>
      </c>
      <c r="F9" s="389">
        <f t="shared" si="14"/>
        <v>360001</v>
      </c>
      <c r="G9" s="390">
        <f>500000*1.8</f>
        <v>900000</v>
      </c>
      <c r="H9" s="393">
        <f t="shared" si="0"/>
        <v>50200</v>
      </c>
      <c r="I9" s="394">
        <f t="shared" si="1"/>
        <v>0.01367</v>
      </c>
      <c r="J9" s="395">
        <f t="shared" si="5"/>
        <v>125500</v>
      </c>
      <c r="K9" s="396">
        <f t="shared" si="6"/>
        <v>0.06837</v>
      </c>
      <c r="L9" s="397">
        <f t="shared" si="2"/>
        <v>87850</v>
      </c>
      <c r="M9" s="409">
        <v>502</v>
      </c>
      <c r="N9" s="399">
        <v>250</v>
      </c>
      <c r="O9" s="400"/>
      <c r="P9" s="401">
        <f t="shared" si="7"/>
        <v>87850</v>
      </c>
      <c r="Q9" s="401">
        <f t="shared" si="8"/>
        <v>1</v>
      </c>
      <c r="R9" s="410">
        <v>0.01367</v>
      </c>
      <c r="S9" s="403">
        <v>0.06837</v>
      </c>
      <c r="T9" s="380"/>
      <c r="U9" s="390">
        <f t="shared" si="15"/>
        <v>200001</v>
      </c>
      <c r="V9" s="390">
        <f>500000</f>
        <v>500000</v>
      </c>
      <c r="W9" s="405">
        <f t="shared" si="16"/>
        <v>5756</v>
      </c>
      <c r="X9" s="402">
        <f t="shared" si="9"/>
        <v>0.01367</v>
      </c>
      <c r="Y9" s="411">
        <f aca="true" t="shared" si="19" ref="Y9:Y18">AB8</f>
        <v>23479</v>
      </c>
      <c r="Z9" s="403">
        <f t="shared" si="10"/>
        <v>0.06837</v>
      </c>
      <c r="AA9" s="393">
        <f t="shared" si="17"/>
        <v>9857</v>
      </c>
      <c r="AB9" s="393">
        <f t="shared" si="18"/>
        <v>43990</v>
      </c>
      <c r="AC9" s="412">
        <v>502</v>
      </c>
      <c r="AD9" s="400"/>
      <c r="AE9" s="401">
        <f t="shared" si="11"/>
        <v>26923.5</v>
      </c>
      <c r="AF9" s="401">
        <f t="shared" si="12"/>
        <v>1</v>
      </c>
      <c r="AG9" s="410">
        <v>0.01367</v>
      </c>
      <c r="AH9" s="403">
        <v>0.06837</v>
      </c>
    </row>
    <row r="10" spans="1:34" s="377" customFormat="1" ht="15" customHeight="1">
      <c r="A10" s="390">
        <f t="shared" si="13"/>
        <v>900001</v>
      </c>
      <c r="B10" s="390">
        <f>1000000*1.8</f>
        <v>1800000</v>
      </c>
      <c r="C10" s="540">
        <f t="shared" si="3"/>
        <v>3645</v>
      </c>
      <c r="D10" s="413">
        <v>0.00015</v>
      </c>
      <c r="E10" s="541">
        <f t="shared" si="4"/>
        <v>87480</v>
      </c>
      <c r="F10" s="389">
        <f t="shared" si="14"/>
        <v>900001</v>
      </c>
      <c r="G10" s="390">
        <f>1000000*1.8</f>
        <v>1800000</v>
      </c>
      <c r="H10" s="393">
        <f t="shared" si="0"/>
        <v>52900</v>
      </c>
      <c r="I10" s="394">
        <f t="shared" si="1"/>
        <v>0.00954</v>
      </c>
      <c r="J10" s="395">
        <f t="shared" si="5"/>
        <v>132250</v>
      </c>
      <c r="K10" s="396">
        <f t="shared" si="6"/>
        <v>0.04028</v>
      </c>
      <c r="L10" s="397">
        <f t="shared" si="2"/>
        <v>92575</v>
      </c>
      <c r="M10" s="409">
        <v>529</v>
      </c>
      <c r="N10" s="399">
        <v>250</v>
      </c>
      <c r="O10" s="400"/>
      <c r="P10" s="401">
        <f t="shared" si="7"/>
        <v>92575</v>
      </c>
      <c r="Q10" s="401">
        <f t="shared" si="8"/>
        <v>1</v>
      </c>
      <c r="R10" s="410">
        <v>0.00954</v>
      </c>
      <c r="S10" s="403">
        <v>0.04028</v>
      </c>
      <c r="T10" s="380"/>
      <c r="U10" s="390">
        <f t="shared" si="15"/>
        <v>500001</v>
      </c>
      <c r="V10" s="390">
        <f>1000000</f>
        <v>1000000</v>
      </c>
      <c r="W10" s="405">
        <f t="shared" si="16"/>
        <v>9857</v>
      </c>
      <c r="X10" s="402">
        <f t="shared" si="9"/>
        <v>0.00954</v>
      </c>
      <c r="Y10" s="411">
        <f t="shared" si="19"/>
        <v>43990</v>
      </c>
      <c r="Z10" s="403">
        <f t="shared" si="10"/>
        <v>0.04028</v>
      </c>
      <c r="AA10" s="393">
        <f t="shared" si="17"/>
        <v>14627</v>
      </c>
      <c r="AB10" s="393">
        <f t="shared" si="18"/>
        <v>64130</v>
      </c>
      <c r="AC10" s="412">
        <v>529</v>
      </c>
      <c r="AD10" s="400"/>
      <c r="AE10" s="401">
        <f t="shared" si="11"/>
        <v>39378.5</v>
      </c>
      <c r="AF10" s="401">
        <f t="shared" si="12"/>
        <v>1</v>
      </c>
      <c r="AG10" s="410">
        <v>0.00954</v>
      </c>
      <c r="AH10" s="403">
        <v>0.04028</v>
      </c>
    </row>
    <row r="11" spans="1:34" s="377" customFormat="1" ht="15" customHeight="1">
      <c r="A11" s="390">
        <f t="shared" si="13"/>
        <v>1800001</v>
      </c>
      <c r="B11" s="390">
        <f>2000000*1.8</f>
        <v>3600000</v>
      </c>
      <c r="C11" s="540">
        <f t="shared" si="3"/>
        <v>3897</v>
      </c>
      <c r="D11" s="413">
        <v>0.00014</v>
      </c>
      <c r="E11" s="541">
        <f t="shared" si="4"/>
        <v>93528</v>
      </c>
      <c r="F11" s="389">
        <f t="shared" si="14"/>
        <v>1800001</v>
      </c>
      <c r="G11" s="390">
        <f>2000000*1.8</f>
        <v>3600000</v>
      </c>
      <c r="H11" s="393">
        <f t="shared" si="0"/>
        <v>55800</v>
      </c>
      <c r="I11" s="394">
        <f t="shared" si="1"/>
        <v>0.00689</v>
      </c>
      <c r="J11" s="395">
        <f t="shared" si="5"/>
        <v>161820</v>
      </c>
      <c r="K11" s="396">
        <f t="shared" si="6"/>
        <v>0.03604</v>
      </c>
      <c r="L11" s="397">
        <f t="shared" si="2"/>
        <v>108810</v>
      </c>
      <c r="M11" s="409">
        <v>558</v>
      </c>
      <c r="N11" s="399">
        <v>290</v>
      </c>
      <c r="O11" s="400"/>
      <c r="P11" s="401">
        <f t="shared" si="7"/>
        <v>108810</v>
      </c>
      <c r="Q11" s="401">
        <f t="shared" si="8"/>
        <v>1</v>
      </c>
      <c r="R11" s="410">
        <v>0.00689</v>
      </c>
      <c r="S11" s="403">
        <v>0.03604</v>
      </c>
      <c r="T11" s="380"/>
      <c r="U11" s="390">
        <f t="shared" si="15"/>
        <v>1000001</v>
      </c>
      <c r="V11" s="390">
        <f>2000000</f>
        <v>2000000</v>
      </c>
      <c r="W11" s="405">
        <f t="shared" si="16"/>
        <v>14627</v>
      </c>
      <c r="X11" s="402">
        <f t="shared" si="9"/>
        <v>0.00689</v>
      </c>
      <c r="Y11" s="411">
        <f t="shared" si="19"/>
        <v>64130</v>
      </c>
      <c r="Z11" s="403">
        <f t="shared" si="10"/>
        <v>0.03604</v>
      </c>
      <c r="AA11" s="393">
        <f t="shared" si="17"/>
        <v>21517</v>
      </c>
      <c r="AB11" s="393">
        <f t="shared" si="18"/>
        <v>100170</v>
      </c>
      <c r="AC11" s="412">
        <v>558</v>
      </c>
      <c r="AD11" s="400"/>
      <c r="AE11" s="401">
        <f t="shared" si="11"/>
        <v>60843.5</v>
      </c>
      <c r="AF11" s="401">
        <f t="shared" si="12"/>
        <v>1</v>
      </c>
      <c r="AG11" s="410">
        <v>0.00689</v>
      </c>
      <c r="AH11" s="403">
        <v>0.03604</v>
      </c>
    </row>
    <row r="12" spans="1:34" s="377" customFormat="1" ht="15" customHeight="1">
      <c r="A12" s="390">
        <f t="shared" si="13"/>
        <v>3600001</v>
      </c>
      <c r="B12" s="390">
        <f>5000000*1.8</f>
        <v>9000000</v>
      </c>
      <c r="C12" s="540">
        <f t="shared" si="3"/>
        <v>4383</v>
      </c>
      <c r="D12" s="413">
        <v>9E-05</v>
      </c>
      <c r="E12" s="541">
        <f t="shared" si="4"/>
        <v>105192</v>
      </c>
      <c r="F12" s="389">
        <f t="shared" si="14"/>
        <v>3600001</v>
      </c>
      <c r="G12" s="390">
        <f>5000000*1.8</f>
        <v>9000000</v>
      </c>
      <c r="H12" s="393">
        <f t="shared" si="0"/>
        <v>59000</v>
      </c>
      <c r="I12" s="394">
        <f t="shared" si="1"/>
        <v>0.00375</v>
      </c>
      <c r="J12" s="395">
        <f t="shared" si="5"/>
        <v>197650</v>
      </c>
      <c r="K12" s="396">
        <f t="shared" si="6"/>
        <v>0.01391</v>
      </c>
      <c r="L12" s="397">
        <f t="shared" si="2"/>
        <v>128325</v>
      </c>
      <c r="M12" s="409">
        <v>590</v>
      </c>
      <c r="N12" s="399">
        <v>335</v>
      </c>
      <c r="O12" s="400"/>
      <c r="P12" s="401">
        <f t="shared" si="7"/>
        <v>128325</v>
      </c>
      <c r="Q12" s="401">
        <f t="shared" si="8"/>
        <v>1</v>
      </c>
      <c r="R12" s="410">
        <v>0.00375</v>
      </c>
      <c r="S12" s="403">
        <v>0.01391</v>
      </c>
      <c r="T12" s="380"/>
      <c r="U12" s="390">
        <f t="shared" si="15"/>
        <v>2000001</v>
      </c>
      <c r="V12" s="390">
        <f>5000000</f>
        <v>5000000</v>
      </c>
      <c r="W12" s="405">
        <f t="shared" si="16"/>
        <v>21517</v>
      </c>
      <c r="X12" s="402">
        <f t="shared" si="9"/>
        <v>0.00375</v>
      </c>
      <c r="Y12" s="411">
        <f t="shared" si="19"/>
        <v>100170</v>
      </c>
      <c r="Z12" s="403">
        <f t="shared" si="10"/>
        <v>0.01391</v>
      </c>
      <c r="AA12" s="393">
        <f t="shared" si="17"/>
        <v>32767</v>
      </c>
      <c r="AB12" s="393">
        <f t="shared" si="18"/>
        <v>141900</v>
      </c>
      <c r="AC12" s="412">
        <v>590</v>
      </c>
      <c r="AD12" s="400"/>
      <c r="AE12" s="401">
        <f t="shared" si="11"/>
        <v>87333.5</v>
      </c>
      <c r="AF12" s="401">
        <f t="shared" si="12"/>
        <v>1</v>
      </c>
      <c r="AG12" s="410">
        <v>0.00375</v>
      </c>
      <c r="AH12" s="403">
        <v>0.01391</v>
      </c>
    </row>
    <row r="13" spans="1:34" s="377" customFormat="1" ht="15" customHeight="1">
      <c r="A13" s="390">
        <f t="shared" si="13"/>
        <v>9000001</v>
      </c>
      <c r="B13" s="390">
        <f>10000000*1.8</f>
        <v>18000000</v>
      </c>
      <c r="C13" s="391">
        <f t="shared" si="3"/>
        <v>5103</v>
      </c>
      <c r="D13" s="413">
        <v>8E-05</v>
      </c>
      <c r="E13" s="541">
        <f t="shared" si="4"/>
        <v>122472</v>
      </c>
      <c r="F13" s="389">
        <f t="shared" si="14"/>
        <v>9000001</v>
      </c>
      <c r="G13" s="414">
        <f>10000000*1.8</f>
        <v>18000000</v>
      </c>
      <c r="H13" s="421">
        <f aca="true" t="shared" si="20" ref="H13:H19">(((G13-G12)*I13)+H12)</f>
        <v>70520</v>
      </c>
      <c r="I13" s="402">
        <f t="shared" si="1"/>
        <v>0.00128</v>
      </c>
      <c r="J13" s="536">
        <f aca="true" t="shared" si="21" ref="J13:J19">(((G13-G12)*K13)+J12)</f>
        <v>279550</v>
      </c>
      <c r="K13" s="403">
        <f aca="true" t="shared" si="22" ref="K13:K19">S13*Q13</f>
        <v>0.0091</v>
      </c>
      <c r="L13" s="537">
        <f t="shared" si="2"/>
        <v>175035</v>
      </c>
      <c r="M13" s="415"/>
      <c r="N13" s="416"/>
      <c r="O13" s="393"/>
      <c r="P13" s="401">
        <f t="shared" si="7"/>
        <v>175035</v>
      </c>
      <c r="Q13" s="401">
        <f t="shared" si="8"/>
        <v>1</v>
      </c>
      <c r="R13" s="410">
        <v>0.00128</v>
      </c>
      <c r="S13" s="403">
        <v>0.0091</v>
      </c>
      <c r="T13" s="380"/>
      <c r="U13" s="390">
        <f t="shared" si="15"/>
        <v>5000001</v>
      </c>
      <c r="V13" s="414">
        <f>10000000</f>
        <v>10000000</v>
      </c>
      <c r="W13" s="417">
        <f t="shared" si="16"/>
        <v>32767</v>
      </c>
      <c r="X13" s="418">
        <f t="shared" si="9"/>
        <v>0.00128</v>
      </c>
      <c r="Y13" s="419">
        <f t="shared" si="19"/>
        <v>141900</v>
      </c>
      <c r="Z13" s="420">
        <f t="shared" si="10"/>
        <v>0.0091</v>
      </c>
      <c r="AA13" s="421">
        <f t="shared" si="17"/>
        <v>39167</v>
      </c>
      <c r="AB13" s="421">
        <f t="shared" si="18"/>
        <v>187400</v>
      </c>
      <c r="AC13" s="387"/>
      <c r="AD13" s="393"/>
      <c r="AE13" s="401">
        <f t="shared" si="11"/>
        <v>113283.5</v>
      </c>
      <c r="AF13" s="401">
        <f t="shared" si="12"/>
        <v>1</v>
      </c>
      <c r="AG13" s="410">
        <v>0.00128</v>
      </c>
      <c r="AH13" s="403">
        <v>0.0091</v>
      </c>
    </row>
    <row r="14" spans="1:34" s="377" customFormat="1" ht="15" customHeight="1">
      <c r="A14" s="390">
        <f t="shared" si="13"/>
        <v>18000001</v>
      </c>
      <c r="B14" s="390">
        <f>30000000*1.8</f>
        <v>54000000</v>
      </c>
      <c r="C14" s="391">
        <f t="shared" si="3"/>
        <v>6543</v>
      </c>
      <c r="D14" s="413">
        <v>4E-05</v>
      </c>
      <c r="E14" s="541">
        <f t="shared" si="4"/>
        <v>157032</v>
      </c>
      <c r="F14" s="389">
        <f t="shared" si="14"/>
        <v>18000001</v>
      </c>
      <c r="G14" s="414">
        <f>30000000*1.8</f>
        <v>54000000</v>
      </c>
      <c r="H14" s="421">
        <f t="shared" si="20"/>
        <v>93560</v>
      </c>
      <c r="I14" s="402">
        <f t="shared" si="1"/>
        <v>0.00064</v>
      </c>
      <c r="J14" s="536">
        <f t="shared" si="21"/>
        <v>366310</v>
      </c>
      <c r="K14" s="403">
        <f t="shared" si="22"/>
        <v>0.00241</v>
      </c>
      <c r="L14" s="537">
        <f t="shared" si="2"/>
        <v>229935</v>
      </c>
      <c r="M14" s="415"/>
      <c r="N14" s="416"/>
      <c r="O14" s="393"/>
      <c r="P14" s="401">
        <f t="shared" si="7"/>
        <v>229935</v>
      </c>
      <c r="Q14" s="401">
        <f t="shared" si="8"/>
        <v>1</v>
      </c>
      <c r="R14" s="410">
        <v>0.00064</v>
      </c>
      <c r="S14" s="403">
        <v>0.00241</v>
      </c>
      <c r="T14" s="380"/>
      <c r="U14" s="390">
        <f t="shared" si="15"/>
        <v>10000001</v>
      </c>
      <c r="V14" s="414">
        <f>30000000</f>
        <v>30000000</v>
      </c>
      <c r="W14" s="417">
        <f t="shared" si="16"/>
        <v>39167</v>
      </c>
      <c r="X14" s="418">
        <f t="shared" si="9"/>
        <v>0.00064</v>
      </c>
      <c r="Y14" s="419">
        <f t="shared" si="19"/>
        <v>187400</v>
      </c>
      <c r="Z14" s="420">
        <f t="shared" si="10"/>
        <v>0.00241</v>
      </c>
      <c r="AA14" s="421">
        <f t="shared" si="17"/>
        <v>51967</v>
      </c>
      <c r="AB14" s="421">
        <f t="shared" si="18"/>
        <v>235600</v>
      </c>
      <c r="AC14" s="387"/>
      <c r="AD14" s="393"/>
      <c r="AE14" s="401">
        <f t="shared" si="11"/>
        <v>143783.5</v>
      </c>
      <c r="AF14" s="401">
        <f t="shared" si="12"/>
        <v>1</v>
      </c>
      <c r="AG14" s="410">
        <v>0.00064</v>
      </c>
      <c r="AH14" s="403">
        <v>0.00241</v>
      </c>
    </row>
    <row r="15" spans="1:34" s="377" customFormat="1" ht="15" customHeight="1">
      <c r="A15" s="390">
        <f t="shared" si="13"/>
        <v>54000001</v>
      </c>
      <c r="B15" s="390">
        <f>50000000*1.8</f>
        <v>90000000</v>
      </c>
      <c r="C15" s="391">
        <f t="shared" si="3"/>
        <v>7983</v>
      </c>
      <c r="D15" s="413">
        <v>4E-05</v>
      </c>
      <c r="E15" s="541">
        <f t="shared" si="4"/>
        <v>191592</v>
      </c>
      <c r="F15" s="389">
        <f t="shared" si="14"/>
        <v>54000001</v>
      </c>
      <c r="G15" s="414">
        <f>50000000*1.8</f>
        <v>90000000</v>
      </c>
      <c r="H15" s="421">
        <f t="shared" si="20"/>
        <v>114800</v>
      </c>
      <c r="I15" s="402">
        <f t="shared" si="1"/>
        <v>0.00059</v>
      </c>
      <c r="J15" s="536">
        <f t="shared" si="21"/>
        <v>448390</v>
      </c>
      <c r="K15" s="403">
        <f t="shared" si="22"/>
        <v>0.00228</v>
      </c>
      <c r="L15" s="537">
        <f t="shared" si="2"/>
        <v>281595</v>
      </c>
      <c r="M15" s="415"/>
      <c r="N15" s="416"/>
      <c r="O15" s="393"/>
      <c r="P15" s="401">
        <f t="shared" si="7"/>
        <v>281595</v>
      </c>
      <c r="Q15" s="401">
        <f t="shared" si="8"/>
        <v>1</v>
      </c>
      <c r="R15" s="410">
        <v>0.00059</v>
      </c>
      <c r="S15" s="403">
        <v>0.00228</v>
      </c>
      <c r="T15" s="380"/>
      <c r="U15" s="390">
        <f t="shared" si="15"/>
        <v>30000001</v>
      </c>
      <c r="V15" s="414">
        <f>50000000</f>
        <v>50000000</v>
      </c>
      <c r="W15" s="417">
        <f t="shared" si="16"/>
        <v>51967</v>
      </c>
      <c r="X15" s="418">
        <f t="shared" si="9"/>
        <v>0.00059</v>
      </c>
      <c r="Y15" s="419">
        <f t="shared" si="19"/>
        <v>235600</v>
      </c>
      <c r="Z15" s="420">
        <f t="shared" si="10"/>
        <v>0.00228</v>
      </c>
      <c r="AA15" s="421">
        <f t="shared" si="17"/>
        <v>63767</v>
      </c>
      <c r="AB15" s="421">
        <f t="shared" si="18"/>
        <v>281200</v>
      </c>
      <c r="AC15" s="387"/>
      <c r="AD15" s="393"/>
      <c r="AE15" s="401">
        <f t="shared" si="11"/>
        <v>172483.5</v>
      </c>
      <c r="AF15" s="401">
        <f t="shared" si="12"/>
        <v>1</v>
      </c>
      <c r="AG15" s="410">
        <v>0.00059</v>
      </c>
      <c r="AH15" s="403">
        <v>0.00228</v>
      </c>
    </row>
    <row r="16" spans="1:34" s="377" customFormat="1" ht="15" customHeight="1">
      <c r="A16" s="390">
        <f t="shared" si="13"/>
        <v>90000001</v>
      </c>
      <c r="B16" s="390">
        <f>80000000*1.8</f>
        <v>144000000</v>
      </c>
      <c r="C16" s="391">
        <f t="shared" si="3"/>
        <v>9603</v>
      </c>
      <c r="D16" s="413">
        <v>3E-05</v>
      </c>
      <c r="E16" s="541">
        <f t="shared" si="4"/>
        <v>230472</v>
      </c>
      <c r="F16" s="389">
        <f t="shared" si="14"/>
        <v>90000001</v>
      </c>
      <c r="G16" s="414">
        <f>80000000*1.8</f>
        <v>144000000</v>
      </c>
      <c r="H16" s="421">
        <f t="shared" si="20"/>
        <v>132620</v>
      </c>
      <c r="I16" s="402">
        <f t="shared" si="1"/>
        <v>0.00033</v>
      </c>
      <c r="J16" s="536">
        <f t="shared" si="21"/>
        <v>533170</v>
      </c>
      <c r="K16" s="403">
        <f t="shared" si="22"/>
        <v>0.00157</v>
      </c>
      <c r="L16" s="537">
        <f t="shared" si="2"/>
        <v>332895</v>
      </c>
      <c r="M16" s="415"/>
      <c r="N16" s="416"/>
      <c r="O16" s="393"/>
      <c r="P16" s="401">
        <f t="shared" si="7"/>
        <v>332895</v>
      </c>
      <c r="Q16" s="401">
        <f t="shared" si="8"/>
        <v>1</v>
      </c>
      <c r="R16" s="410">
        <v>0.00033</v>
      </c>
      <c r="S16" s="403">
        <v>0.00157</v>
      </c>
      <c r="T16" s="380"/>
      <c r="U16" s="390">
        <f t="shared" si="15"/>
        <v>50000001</v>
      </c>
      <c r="V16" s="414">
        <f>80000000</f>
        <v>80000000</v>
      </c>
      <c r="W16" s="417">
        <f t="shared" si="16"/>
        <v>63767</v>
      </c>
      <c r="X16" s="418">
        <f t="shared" si="9"/>
        <v>0.00033</v>
      </c>
      <c r="Y16" s="419">
        <f t="shared" si="19"/>
        <v>281200</v>
      </c>
      <c r="Z16" s="420">
        <f t="shared" si="10"/>
        <v>0.00157</v>
      </c>
      <c r="AA16" s="421">
        <f t="shared" si="17"/>
        <v>73667</v>
      </c>
      <c r="AB16" s="421">
        <f t="shared" si="18"/>
        <v>328300</v>
      </c>
      <c r="AC16" s="387"/>
      <c r="AD16" s="393"/>
      <c r="AE16" s="401">
        <f t="shared" si="11"/>
        <v>200983.5</v>
      </c>
      <c r="AF16" s="401">
        <f t="shared" si="12"/>
        <v>1</v>
      </c>
      <c r="AG16" s="410">
        <v>0.00033</v>
      </c>
      <c r="AH16" s="403">
        <v>0.00157</v>
      </c>
    </row>
    <row r="17" spans="1:34" s="377" customFormat="1" ht="15" customHeight="1">
      <c r="A17" s="390">
        <f t="shared" si="13"/>
        <v>144000001</v>
      </c>
      <c r="B17" s="390">
        <f>100000000*1.8</f>
        <v>180000000</v>
      </c>
      <c r="C17" s="391">
        <f t="shared" si="3"/>
        <v>10323</v>
      </c>
      <c r="D17" s="413">
        <v>2E-05</v>
      </c>
      <c r="E17" s="541">
        <f t="shared" si="4"/>
        <v>247752</v>
      </c>
      <c r="F17" s="389">
        <f t="shared" si="14"/>
        <v>144000001</v>
      </c>
      <c r="G17" s="414">
        <f>100000000*1.8</f>
        <v>180000000</v>
      </c>
      <c r="H17" s="421">
        <f t="shared" si="20"/>
        <v>140180</v>
      </c>
      <c r="I17" s="402">
        <f t="shared" si="1"/>
        <v>0.00021</v>
      </c>
      <c r="J17" s="536">
        <f t="shared" si="21"/>
        <v>574570</v>
      </c>
      <c r="K17" s="403">
        <f t="shared" si="22"/>
        <v>0.00115</v>
      </c>
      <c r="L17" s="537">
        <f t="shared" si="2"/>
        <v>357375</v>
      </c>
      <c r="M17" s="415"/>
      <c r="N17" s="416"/>
      <c r="O17" s="393"/>
      <c r="P17" s="401">
        <f t="shared" si="7"/>
        <v>357375</v>
      </c>
      <c r="Q17" s="401">
        <f t="shared" si="8"/>
        <v>1</v>
      </c>
      <c r="R17" s="410">
        <v>0.00021</v>
      </c>
      <c r="S17" s="403">
        <v>0.00115</v>
      </c>
      <c r="T17" s="380"/>
      <c r="U17" s="390">
        <f t="shared" si="15"/>
        <v>80000001</v>
      </c>
      <c r="V17" s="414">
        <f>100000000</f>
        <v>100000000</v>
      </c>
      <c r="W17" s="417">
        <f t="shared" si="16"/>
        <v>73667</v>
      </c>
      <c r="X17" s="418">
        <f t="shared" si="9"/>
        <v>0.00021</v>
      </c>
      <c r="Y17" s="419">
        <f t="shared" si="19"/>
        <v>328300</v>
      </c>
      <c r="Z17" s="420">
        <f t="shared" si="10"/>
        <v>0.00115</v>
      </c>
      <c r="AA17" s="421">
        <f t="shared" si="17"/>
        <v>77867</v>
      </c>
      <c r="AB17" s="421">
        <f t="shared" si="18"/>
        <v>351300</v>
      </c>
      <c r="AC17" s="387"/>
      <c r="AD17" s="393"/>
      <c r="AE17" s="401">
        <f t="shared" si="11"/>
        <v>214583.5</v>
      </c>
      <c r="AF17" s="401">
        <f t="shared" si="12"/>
        <v>1</v>
      </c>
      <c r="AG17" s="410">
        <v>0.00021</v>
      </c>
      <c r="AH17" s="403">
        <v>0.00115</v>
      </c>
    </row>
    <row r="18" spans="1:34" s="377" customFormat="1" ht="15" customHeight="1">
      <c r="A18" s="390">
        <f t="shared" si="13"/>
        <v>180000001</v>
      </c>
      <c r="B18" s="390">
        <f>500000000*1.8</f>
        <v>900000000</v>
      </c>
      <c r="C18" s="391">
        <f t="shared" si="3"/>
        <v>11043</v>
      </c>
      <c r="D18" s="413">
        <v>1E-06</v>
      </c>
      <c r="E18" s="541">
        <f t="shared" si="4"/>
        <v>265032</v>
      </c>
      <c r="F18" s="389">
        <f t="shared" si="14"/>
        <v>180000001</v>
      </c>
      <c r="G18" s="414">
        <f>500000000*1.8</f>
        <v>900000000</v>
      </c>
      <c r="H18" s="421">
        <f t="shared" si="20"/>
        <v>219380</v>
      </c>
      <c r="I18" s="402">
        <f t="shared" si="1"/>
        <v>0.00011</v>
      </c>
      <c r="J18" s="536">
        <f t="shared" si="21"/>
        <v>992170</v>
      </c>
      <c r="K18" s="403">
        <f t="shared" si="22"/>
        <v>0.00058</v>
      </c>
      <c r="L18" s="537">
        <f t="shared" si="2"/>
        <v>605775</v>
      </c>
      <c r="M18" s="415"/>
      <c r="N18" s="416"/>
      <c r="O18" s="393"/>
      <c r="P18" s="401">
        <f t="shared" si="7"/>
        <v>605775</v>
      </c>
      <c r="Q18" s="401">
        <f t="shared" si="8"/>
        <v>1</v>
      </c>
      <c r="R18" s="410">
        <v>0.00011</v>
      </c>
      <c r="S18" s="403">
        <v>0.00058</v>
      </c>
      <c r="T18" s="380"/>
      <c r="U18" s="390">
        <f t="shared" si="15"/>
        <v>100000001</v>
      </c>
      <c r="V18" s="414">
        <f>500000000</f>
        <v>500000000</v>
      </c>
      <c r="W18" s="417">
        <f t="shared" si="16"/>
        <v>77867</v>
      </c>
      <c r="X18" s="418">
        <f t="shared" si="9"/>
        <v>0.00011</v>
      </c>
      <c r="Y18" s="419">
        <f t="shared" si="19"/>
        <v>351300</v>
      </c>
      <c r="Z18" s="420">
        <f t="shared" si="10"/>
        <v>0.00058</v>
      </c>
      <c r="AA18" s="421">
        <f t="shared" si="17"/>
        <v>121867</v>
      </c>
      <c r="AB18" s="421">
        <f t="shared" si="18"/>
        <v>583300</v>
      </c>
      <c r="AC18" s="387"/>
      <c r="AD18" s="393"/>
      <c r="AE18" s="401">
        <f t="shared" si="11"/>
        <v>352583.5</v>
      </c>
      <c r="AF18" s="401">
        <f t="shared" si="12"/>
        <v>1</v>
      </c>
      <c r="AG18" s="410">
        <v>0.00011</v>
      </c>
      <c r="AH18" s="403">
        <v>0.00058</v>
      </c>
    </row>
    <row r="19" spans="1:34" s="375" customFormat="1" ht="15" customHeight="1">
      <c r="A19" s="390">
        <f t="shared" si="13"/>
        <v>900000001</v>
      </c>
      <c r="B19" s="422"/>
      <c r="C19" s="391"/>
      <c r="D19" s="413">
        <v>1E-06</v>
      </c>
      <c r="E19" s="450">
        <f t="shared" si="4"/>
        <v>0</v>
      </c>
      <c r="F19" s="389">
        <f t="shared" si="14"/>
        <v>900000001</v>
      </c>
      <c r="G19" s="423"/>
      <c r="H19" s="510">
        <f t="shared" si="20"/>
        <v>120380</v>
      </c>
      <c r="I19" s="402">
        <f t="shared" si="1"/>
        <v>0.00011</v>
      </c>
      <c r="J19" s="536">
        <f t="shared" si="21"/>
        <v>596170</v>
      </c>
      <c r="K19" s="403">
        <f t="shared" si="22"/>
        <v>0.00044</v>
      </c>
      <c r="L19" s="397">
        <f t="shared" si="2"/>
        <v>358275</v>
      </c>
      <c r="M19" s="424"/>
      <c r="N19" s="416"/>
      <c r="O19" s="393"/>
      <c r="P19" s="401">
        <f t="shared" si="7"/>
        <v>358275</v>
      </c>
      <c r="Q19" s="401">
        <f t="shared" si="8"/>
        <v>1</v>
      </c>
      <c r="R19" s="425">
        <v>0.00011</v>
      </c>
      <c r="S19" s="425">
        <v>0.00044</v>
      </c>
      <c r="T19" s="380"/>
      <c r="U19" s="390">
        <f t="shared" si="15"/>
        <v>500000001</v>
      </c>
      <c r="V19" s="423"/>
      <c r="W19" s="422">
        <f>AA18</f>
        <v>121867</v>
      </c>
      <c r="X19" s="418">
        <f t="shared" si="9"/>
        <v>1E-06</v>
      </c>
      <c r="Y19" s="422">
        <f>AB18</f>
        <v>583300</v>
      </c>
      <c r="Z19" s="420">
        <f t="shared" si="10"/>
        <v>4E-06</v>
      </c>
      <c r="AA19" s="426"/>
      <c r="AB19" s="423"/>
      <c r="AC19" s="387"/>
      <c r="AD19" s="393"/>
      <c r="AF19" s="401">
        <f t="shared" si="12"/>
        <v>1</v>
      </c>
      <c r="AG19" s="425">
        <v>1E-06</v>
      </c>
      <c r="AH19" s="425">
        <v>4E-06</v>
      </c>
    </row>
    <row r="20" spans="1:34" s="375" customFormat="1" ht="15" customHeight="1">
      <c r="A20" s="427"/>
      <c r="B20" s="422"/>
      <c r="C20" s="427"/>
      <c r="D20" s="428"/>
      <c r="F20" s="427"/>
      <c r="G20" s="423"/>
      <c r="H20" s="393"/>
      <c r="I20" s="429"/>
      <c r="J20" s="393"/>
      <c r="L20" s="430"/>
      <c r="M20" s="431"/>
      <c r="N20" s="387"/>
      <c r="O20" s="393"/>
      <c r="P20" s="401"/>
      <c r="Q20" s="401"/>
      <c r="R20" s="425"/>
      <c r="S20" s="425"/>
      <c r="T20" s="380"/>
      <c r="U20" s="427"/>
      <c r="V20" s="423"/>
      <c r="W20" s="422"/>
      <c r="X20" s="429"/>
      <c r="Y20" s="422"/>
      <c r="Z20" s="420"/>
      <c r="AA20" s="426"/>
      <c r="AB20" s="423"/>
      <c r="AC20" s="387"/>
      <c r="AD20" s="393"/>
      <c r="AF20" s="401"/>
      <c r="AG20" s="425"/>
      <c r="AH20" s="425"/>
    </row>
    <row r="21" spans="1:34" s="375" customFormat="1" ht="15" customHeight="1">
      <c r="A21" s="427"/>
      <c r="B21" s="422"/>
      <c r="C21" s="427"/>
      <c r="D21" s="428"/>
      <c r="F21" s="427"/>
      <c r="G21" s="432"/>
      <c r="H21" s="393"/>
      <c r="I21" s="433"/>
      <c r="J21" s="393"/>
      <c r="L21" s="430"/>
      <c r="M21" s="431"/>
      <c r="N21" s="387"/>
      <c r="O21" s="393"/>
      <c r="P21" s="401"/>
      <c r="Q21" s="401"/>
      <c r="R21" s="425"/>
      <c r="S21" s="425"/>
      <c r="T21" s="380"/>
      <c r="U21" s="427"/>
      <c r="V21" s="423"/>
      <c r="W21" s="422"/>
      <c r="X21" s="429"/>
      <c r="Y21" s="422"/>
      <c r="Z21" s="420"/>
      <c r="AA21" s="426"/>
      <c r="AB21" s="423"/>
      <c r="AC21" s="387"/>
      <c r="AD21" s="393"/>
      <c r="AF21" s="401"/>
      <c r="AG21" s="425"/>
      <c r="AH21" s="425"/>
    </row>
    <row r="22" spans="1:14" ht="15" customHeight="1">
      <c r="A22" s="434" t="s">
        <v>602</v>
      </c>
      <c r="B22" s="435" t="s">
        <v>603</v>
      </c>
      <c r="C22" s="381" t="s">
        <v>536</v>
      </c>
      <c r="D22" s="434" t="s">
        <v>586</v>
      </c>
      <c r="F22" s="679" t="s">
        <v>587</v>
      </c>
      <c r="G22" s="679"/>
      <c r="H22" s="679"/>
      <c r="I22" s="679"/>
      <c r="J22" s="679"/>
      <c r="K22"/>
      <c r="L22"/>
      <c r="M22"/>
      <c r="N22"/>
    </row>
    <row r="23" spans="1:29" ht="15" customHeight="1">
      <c r="A23" s="489">
        <f>IF($J$23&gt;=F6+0.01,IF($J$23&lt;=G6,H6,""),"")</f>
      </c>
      <c r="B23" s="507">
        <f>IF($J$23&gt;=F6+0.01,IF($J$23&lt;=G6,J6,""),"")</f>
      </c>
      <c r="C23" s="508">
        <f aca="true" t="shared" si="23" ref="C23:C29">SUM(A23:B23)*0.5</f>
        <v>0</v>
      </c>
      <c r="D23" s="489">
        <f>IF($J$23&gt;=A6+0.01,IF($J$23&lt;=B6,C6+(($J$23-B6)*D6),""),"")</f>
      </c>
      <c r="F23" s="440" t="s">
        <v>609</v>
      </c>
      <c r="J23" s="509">
        <f>G18</f>
        <v>900000000</v>
      </c>
      <c r="K23"/>
      <c r="L23"/>
      <c r="M23"/>
      <c r="N23"/>
      <c r="AB23" s="376"/>
      <c r="AC23" s="374"/>
    </row>
    <row r="24" spans="1:29" ht="15" customHeight="1">
      <c r="A24" s="489">
        <f aca="true" t="shared" si="24" ref="A24:A29">IF($J$23&gt;=G6+0.01,IF($J$23&lt;=G7,H7,""),"")</f>
      </c>
      <c r="B24" s="507">
        <f aca="true" t="shared" si="25" ref="B24:B29">IF($J$23&gt;=G6+0.01,IF($J$23&lt;=G7,J7,""),"")</f>
      </c>
      <c r="C24" s="508">
        <f t="shared" si="23"/>
        <v>0</v>
      </c>
      <c r="D24" s="489">
        <f aca="true" t="shared" si="26" ref="D24:D35">IF($J$23&gt;=B6+0.01,IF($J$23&lt;=B7,C6+(($J$23-B6)*D7),""),"")</f>
      </c>
      <c r="F24" s="673"/>
      <c r="G24" s="671" t="s">
        <v>612</v>
      </c>
      <c r="H24" s="670" t="s">
        <v>611</v>
      </c>
      <c r="I24" s="670"/>
      <c r="J24" s="670"/>
      <c r="K24"/>
      <c r="L24"/>
      <c r="M24"/>
      <c r="N24"/>
      <c r="AB24" s="376"/>
      <c r="AC24" s="374"/>
    </row>
    <row r="25" spans="1:29" ht="15" customHeight="1">
      <c r="A25" s="489">
        <f t="shared" si="24"/>
      </c>
      <c r="B25" s="507">
        <f t="shared" si="25"/>
      </c>
      <c r="C25" s="508">
        <f t="shared" si="23"/>
        <v>0</v>
      </c>
      <c r="D25" s="489">
        <f t="shared" si="26"/>
      </c>
      <c r="F25" s="674"/>
      <c r="G25" s="672"/>
      <c r="H25" s="442" t="s">
        <v>604</v>
      </c>
      <c r="I25" s="442" t="s">
        <v>582</v>
      </c>
      <c r="J25" s="434"/>
      <c r="K25"/>
      <c r="L25"/>
      <c r="M25"/>
      <c r="N25"/>
      <c r="AB25" s="376"/>
      <c r="AC25" s="374"/>
    </row>
    <row r="26" spans="1:29" ht="15" customHeight="1">
      <c r="A26" s="489">
        <f t="shared" si="24"/>
      </c>
      <c r="B26" s="507">
        <f t="shared" si="25"/>
      </c>
      <c r="C26" s="508">
        <f t="shared" si="23"/>
        <v>0</v>
      </c>
      <c r="D26" s="489">
        <f t="shared" si="26"/>
      </c>
      <c r="F26" s="440" t="s">
        <v>607</v>
      </c>
      <c r="K26"/>
      <c r="L26"/>
      <c r="M26"/>
      <c r="N26"/>
      <c r="AB26" s="376"/>
      <c r="AC26" s="374"/>
    </row>
    <row r="27" spans="1:29" ht="15" customHeight="1">
      <c r="A27" s="489">
        <f t="shared" si="24"/>
      </c>
      <c r="B27" s="507">
        <f t="shared" si="25"/>
      </c>
      <c r="C27" s="508">
        <f t="shared" si="23"/>
        <v>0</v>
      </c>
      <c r="D27" s="489">
        <f t="shared" si="26"/>
      </c>
      <c r="F27" s="440" t="s">
        <v>545</v>
      </c>
      <c r="G27" s="440">
        <f>SUM(A23:A29)</f>
        <v>0</v>
      </c>
      <c r="H27" s="440">
        <f>G27*1.2</f>
        <v>0</v>
      </c>
      <c r="I27" s="440">
        <f>G27*0.9*2</f>
        <v>0</v>
      </c>
      <c r="J27" s="443">
        <f>SUM(H27:I27)</f>
        <v>0</v>
      </c>
      <c r="K27"/>
      <c r="L27"/>
      <c r="M27"/>
      <c r="N27"/>
      <c r="AB27" s="376"/>
      <c r="AC27" s="374"/>
    </row>
    <row r="28" spans="1:14" ht="15" customHeight="1">
      <c r="A28" s="489">
        <f t="shared" si="24"/>
      </c>
      <c r="B28" s="507">
        <f t="shared" si="25"/>
      </c>
      <c r="C28" s="508">
        <f t="shared" si="23"/>
        <v>0</v>
      </c>
      <c r="D28" s="489">
        <f t="shared" si="26"/>
      </c>
      <c r="F28" s="440" t="s">
        <v>608</v>
      </c>
      <c r="G28" s="444"/>
      <c r="H28" s="444"/>
      <c r="I28" s="444"/>
      <c r="J28" s="445"/>
      <c r="K28"/>
      <c r="L28"/>
      <c r="M28"/>
      <c r="N28"/>
    </row>
    <row r="29" spans="1:14" ht="15" customHeight="1">
      <c r="A29" s="489">
        <f t="shared" si="24"/>
      </c>
      <c r="B29" s="507">
        <f t="shared" si="25"/>
      </c>
      <c r="C29" s="508">
        <f t="shared" si="23"/>
        <v>0</v>
      </c>
      <c r="D29" s="489">
        <f t="shared" si="26"/>
      </c>
      <c r="F29" s="434" t="s">
        <v>545</v>
      </c>
      <c r="G29" s="538">
        <f>SUM(A30:A36)</f>
        <v>219380</v>
      </c>
      <c r="H29" s="538">
        <f>G29*1.2</f>
        <v>263256</v>
      </c>
      <c r="I29" s="538">
        <f>G29*0.9*2</f>
        <v>394884</v>
      </c>
      <c r="J29" s="539">
        <f>H29+I29</f>
        <v>658140</v>
      </c>
      <c r="K29"/>
      <c r="L29"/>
      <c r="M29"/>
      <c r="N29"/>
    </row>
    <row r="30" spans="1:14" ht="15" customHeight="1">
      <c r="A30" s="505">
        <f aca="true" t="shared" si="27" ref="A30:A35">IF($J$23&gt;=G12+0.01,IF($J$23&lt;=G13,H12+(($J$23-G12)*I13),""),"")</f>
      </c>
      <c r="B30" s="505">
        <f aca="true" t="shared" si="28" ref="B30:B35">IF($J$23&gt;=G12+0.01,IF($J$23&lt;=G13,J12+(($J$23-G12)*K13),""),"")</f>
      </c>
      <c r="C30" s="506">
        <f>SUM(A30:B30)*0.5</f>
        <v>0</v>
      </c>
      <c r="D30" s="505">
        <f t="shared" si="26"/>
      </c>
      <c r="F30" s="434" t="s">
        <v>536</v>
      </c>
      <c r="G30" s="538">
        <f>SUM(C30:C36)</f>
        <v>605775</v>
      </c>
      <c r="H30" s="538">
        <f>G30*1.2</f>
        <v>726930</v>
      </c>
      <c r="I30" s="538">
        <f>G30*0.9*2</f>
        <v>1090395</v>
      </c>
      <c r="J30" s="539">
        <f>H30+I30</f>
        <v>1817325</v>
      </c>
      <c r="K30"/>
      <c r="L30"/>
      <c r="M30"/>
      <c r="N30"/>
    </row>
    <row r="31" spans="1:14" ht="15" customHeight="1">
      <c r="A31" s="505">
        <f t="shared" si="27"/>
      </c>
      <c r="B31" s="505">
        <f t="shared" si="28"/>
      </c>
      <c r="C31" s="506">
        <f aca="true" t="shared" si="29" ref="C31:C36">SUM(A31:B31)*0.5</f>
        <v>0</v>
      </c>
      <c r="D31" s="505">
        <f t="shared" si="26"/>
      </c>
      <c r="F31" s="434" t="s">
        <v>539</v>
      </c>
      <c r="G31" s="538">
        <f>SUM(B30:B36)</f>
        <v>992170</v>
      </c>
      <c r="H31" s="538">
        <f>G31*1.2</f>
        <v>1190604</v>
      </c>
      <c r="I31" s="538">
        <f>G31*0.9*2</f>
        <v>1785906</v>
      </c>
      <c r="J31" s="539">
        <f>H31+I31</f>
        <v>2976510</v>
      </c>
      <c r="K31"/>
      <c r="L31"/>
      <c r="M31"/>
      <c r="N31"/>
    </row>
    <row r="32" spans="1:14" ht="15" customHeight="1">
      <c r="A32" s="505">
        <f t="shared" si="27"/>
      </c>
      <c r="B32" s="505">
        <f t="shared" si="28"/>
      </c>
      <c r="C32" s="506">
        <f t="shared" si="29"/>
        <v>0</v>
      </c>
      <c r="D32" s="505">
        <f t="shared" si="26"/>
      </c>
      <c r="F32" s="434" t="s">
        <v>586</v>
      </c>
      <c r="G32" s="381">
        <v>24</v>
      </c>
      <c r="H32" s="381" t="s">
        <v>606</v>
      </c>
      <c r="I32" s="381"/>
      <c r="J32" s="440">
        <f>SUM(D23:D36)*G32</f>
        <v>265032</v>
      </c>
      <c r="K32"/>
      <c r="L32"/>
      <c r="M32"/>
      <c r="N32"/>
    </row>
    <row r="33" spans="1:14" ht="15" customHeight="1">
      <c r="A33" s="505">
        <f t="shared" si="27"/>
      </c>
      <c r="B33" s="505">
        <f t="shared" si="28"/>
      </c>
      <c r="C33" s="506">
        <f t="shared" si="29"/>
        <v>0</v>
      </c>
      <c r="D33" s="505">
        <f t="shared" si="26"/>
      </c>
      <c r="F33" s="374" t="s">
        <v>613</v>
      </c>
      <c r="K33"/>
      <c r="L33"/>
      <c r="M33"/>
      <c r="N33"/>
    </row>
    <row r="34" spans="1:14" ht="15" customHeight="1">
      <c r="A34" s="505">
        <f t="shared" si="27"/>
      </c>
      <c r="B34" s="505">
        <f t="shared" si="28"/>
      </c>
      <c r="C34" s="506">
        <f t="shared" si="29"/>
        <v>0</v>
      </c>
      <c r="D34" s="505">
        <f t="shared" si="26"/>
      </c>
      <c r="K34"/>
      <c r="L34"/>
      <c r="M34"/>
      <c r="N34"/>
    </row>
    <row r="35" spans="1:14" ht="15" customHeight="1">
      <c r="A35" s="505">
        <f t="shared" si="27"/>
        <v>219380</v>
      </c>
      <c r="B35" s="505">
        <f t="shared" si="28"/>
        <v>992170</v>
      </c>
      <c r="C35" s="506">
        <f t="shared" si="29"/>
        <v>605775</v>
      </c>
      <c r="D35" s="505">
        <f t="shared" si="26"/>
        <v>11043</v>
      </c>
      <c r="J35" s="449"/>
      <c r="K35"/>
      <c r="L35"/>
      <c r="M35"/>
      <c r="N35"/>
    </row>
    <row r="36" spans="1:34" s="375" customFormat="1" ht="15" customHeight="1">
      <c r="A36" s="505">
        <f>IF($J$23&gt;=G18+0.01,H18+(($J$23-G18)*I19),"")</f>
      </c>
      <c r="B36" s="505">
        <f>IF($J$23&gt;=G18+0.01,J18+(($J$23-G18)*K19),"")</f>
      </c>
      <c r="C36" s="506">
        <f t="shared" si="29"/>
        <v>0</v>
      </c>
      <c r="D36" s="505">
        <f>IF($J$23&gt;=B18+0.01,C18+(($J$23-B18)*D19),"")</f>
      </c>
      <c r="F36" s="427"/>
      <c r="G36" s="423"/>
      <c r="H36" s="393"/>
      <c r="I36" s="429"/>
      <c r="J36" s="449"/>
      <c r="K36"/>
      <c r="L36"/>
      <c r="M36"/>
      <c r="N36"/>
      <c r="O36" s="393"/>
      <c r="P36" s="401"/>
      <c r="Q36" s="401"/>
      <c r="R36" s="425"/>
      <c r="S36" s="425"/>
      <c r="T36" s="380"/>
      <c r="U36" s="427"/>
      <c r="V36" s="423"/>
      <c r="W36" s="422"/>
      <c r="X36" s="429"/>
      <c r="Y36" s="422"/>
      <c r="Z36" s="420"/>
      <c r="AA36" s="426"/>
      <c r="AB36" s="423"/>
      <c r="AC36" s="387"/>
      <c r="AD36" s="393"/>
      <c r="AF36" s="401"/>
      <c r="AG36" s="425"/>
      <c r="AH36" s="425"/>
    </row>
    <row r="37" spans="13:30" s="375" customFormat="1" ht="15" customHeight="1">
      <c r="M37" s="450"/>
      <c r="N37" s="387"/>
      <c r="O37" s="393"/>
      <c r="P37" s="401"/>
      <c r="Z37" s="403"/>
      <c r="AA37" s="451"/>
      <c r="AB37" s="450"/>
      <c r="AC37" s="387"/>
      <c r="AD37" s="393"/>
    </row>
    <row r="38" spans="1:34" s="375" customFormat="1" ht="15" customHeight="1">
      <c r="A38"/>
      <c r="B38"/>
      <c r="C38"/>
      <c r="D38"/>
      <c r="F38" s="374"/>
      <c r="G38" s="378" t="s">
        <v>595</v>
      </c>
      <c r="H38" s="378"/>
      <c r="I38" s="378"/>
      <c r="J38" s="378"/>
      <c r="K38" s="378"/>
      <c r="L38" s="452"/>
      <c r="M38" s="430"/>
      <c r="N38" s="387"/>
      <c r="O38" s="452"/>
      <c r="P38" s="453"/>
      <c r="Q38" s="378"/>
      <c r="R38" s="378"/>
      <c r="S38" s="378"/>
      <c r="T38" s="380"/>
      <c r="U38" s="374"/>
      <c r="V38" s="378" t="s">
        <v>595</v>
      </c>
      <c r="W38" s="378"/>
      <c r="X38" s="378"/>
      <c r="Y38" s="378"/>
      <c r="Z38" s="378"/>
      <c r="AA38" s="452"/>
      <c r="AB38" s="430"/>
      <c r="AC38" s="387"/>
      <c r="AD38" s="452"/>
      <c r="AE38" s="453"/>
      <c r="AF38" s="378"/>
      <c r="AG38" s="378"/>
      <c r="AH38" s="378"/>
    </row>
    <row r="39" spans="1:34" s="375" customFormat="1" ht="15" customHeight="1">
      <c r="A39" s="381" t="s">
        <v>559</v>
      </c>
      <c r="B39" s="381"/>
      <c r="C39" s="382" t="s">
        <v>543</v>
      </c>
      <c r="D39" s="382"/>
      <c r="F39" s="383" t="s">
        <v>540</v>
      </c>
      <c r="G39" s="384"/>
      <c r="H39" s="383" t="s">
        <v>538</v>
      </c>
      <c r="I39" s="384"/>
      <c r="J39" s="383" t="s">
        <v>539</v>
      </c>
      <c r="K39" s="384"/>
      <c r="L39" s="381" t="s">
        <v>536</v>
      </c>
      <c r="M39" s="385" t="s">
        <v>601</v>
      </c>
      <c r="N39" s="386" t="s">
        <v>546</v>
      </c>
      <c r="O39" s="374"/>
      <c r="P39" s="388" t="s">
        <v>536</v>
      </c>
      <c r="Q39" s="388">
        <v>0.7</v>
      </c>
      <c r="R39" s="377"/>
      <c r="S39" s="377"/>
      <c r="T39" s="380"/>
      <c r="U39" s="383" t="s">
        <v>540</v>
      </c>
      <c r="V39" s="384"/>
      <c r="W39" s="383" t="s">
        <v>538</v>
      </c>
      <c r="X39" s="384"/>
      <c r="Y39" s="383" t="s">
        <v>539</v>
      </c>
      <c r="Z39" s="384"/>
      <c r="AA39" s="387" t="s">
        <v>538</v>
      </c>
      <c r="AB39" s="387" t="s">
        <v>539</v>
      </c>
      <c r="AC39" s="387" t="s">
        <v>601</v>
      </c>
      <c r="AD39" s="387" t="s">
        <v>546</v>
      </c>
      <c r="AE39" s="388" t="s">
        <v>536</v>
      </c>
      <c r="AF39" s="388">
        <v>0.7</v>
      </c>
      <c r="AG39" s="377"/>
      <c r="AH39" s="377"/>
    </row>
    <row r="40" spans="1:34" s="375" customFormat="1" ht="15" customHeight="1">
      <c r="A40" s="389">
        <v>1</v>
      </c>
      <c r="B40" s="390">
        <f>50000*1.8</f>
        <v>90000</v>
      </c>
      <c r="C40" s="391">
        <f>B40*D40</f>
        <v>2250</v>
      </c>
      <c r="D40" s="392">
        <v>0.025</v>
      </c>
      <c r="F40" s="389">
        <v>1</v>
      </c>
      <c r="G40" s="390">
        <f>50000*1.8</f>
        <v>90000</v>
      </c>
      <c r="H40" s="393">
        <f aca="true" t="shared" si="30" ref="H40:H46">M40*100</f>
        <v>45000</v>
      </c>
      <c r="I40" s="394">
        <f>R40*Q40</f>
        <v>0.041999999999999996</v>
      </c>
      <c r="J40" s="395">
        <f>M40*N40</f>
        <v>112500</v>
      </c>
      <c r="K40" s="396">
        <f>S40*Q40</f>
        <v>0.12614</v>
      </c>
      <c r="L40" s="397">
        <f>(H40+J40)/2</f>
        <v>78750</v>
      </c>
      <c r="M40" s="398">
        <f aca="true" t="shared" si="31" ref="M40:M46">M6</f>
        <v>450</v>
      </c>
      <c r="N40" s="399">
        <v>250</v>
      </c>
      <c r="O40" s="374"/>
      <c r="P40" s="401"/>
      <c r="Q40" s="401">
        <f>Q39</f>
        <v>0.7</v>
      </c>
      <c r="R40" s="402">
        <f>6%</f>
        <v>0.06</v>
      </c>
      <c r="S40" s="403">
        <f>18.02%</f>
        <v>0.1802</v>
      </c>
      <c r="T40" s="380"/>
      <c r="U40" s="404"/>
      <c r="V40" s="390">
        <f>50000</f>
        <v>50000</v>
      </c>
      <c r="W40" s="405">
        <f>AA40</f>
        <v>45000</v>
      </c>
      <c r="X40" s="402">
        <f>AG40*AF40</f>
        <v>0.041999999999999996</v>
      </c>
      <c r="Y40" s="406">
        <f>AB40</f>
        <v>112500</v>
      </c>
      <c r="Z40" s="403">
        <f>AH40*AF40</f>
        <v>0.12614</v>
      </c>
      <c r="AA40" s="393">
        <f aca="true" t="shared" si="32" ref="AA40:AA46">AC40*100</f>
        <v>45000</v>
      </c>
      <c r="AB40" s="393">
        <f aca="true" t="shared" si="33" ref="AB40:AB46">AC40*AD40</f>
        <v>112500</v>
      </c>
      <c r="AC40" s="408">
        <f aca="true" t="shared" si="34" ref="AC40:AC46">AC6</f>
        <v>450</v>
      </c>
      <c r="AD40" s="408">
        <v>250</v>
      </c>
      <c r="AE40" s="401">
        <f>(AA40+AB40)*0.5</f>
        <v>78750</v>
      </c>
      <c r="AF40" s="401">
        <f>AF39</f>
        <v>0.7</v>
      </c>
      <c r="AG40" s="402">
        <f>6%</f>
        <v>0.06</v>
      </c>
      <c r="AH40" s="403">
        <f>18.02%</f>
        <v>0.1802</v>
      </c>
    </row>
    <row r="41" spans="1:34" s="375" customFormat="1" ht="15" customHeight="1">
      <c r="A41" s="389">
        <f>B40+1</f>
        <v>90001</v>
      </c>
      <c r="B41" s="390">
        <f>100000*1.8</f>
        <v>180000</v>
      </c>
      <c r="C41" s="391">
        <f>C40+(B41-B40)*D41</f>
        <v>2700</v>
      </c>
      <c r="D41" s="392">
        <v>0.005</v>
      </c>
      <c r="F41" s="389">
        <f>G40+1</f>
        <v>90001</v>
      </c>
      <c r="G41" s="390">
        <f>100000*1.8</f>
        <v>180000</v>
      </c>
      <c r="H41" s="393">
        <f t="shared" si="30"/>
        <v>45500</v>
      </c>
      <c r="I41" s="394">
        <f aca="true" t="shared" si="35" ref="I41:I53">R41*Q41</f>
        <v>0.018549999999999997</v>
      </c>
      <c r="J41" s="395">
        <f aca="true" t="shared" si="36" ref="J41:J46">M41*N41</f>
        <v>113750</v>
      </c>
      <c r="K41" s="396">
        <f aca="true" t="shared" si="37" ref="K41:K53">S41*Q41</f>
        <v>0.09497599999999999</v>
      </c>
      <c r="L41" s="397">
        <f aca="true" t="shared" si="38" ref="L41:L53">(H41+J41)/2</f>
        <v>79625</v>
      </c>
      <c r="M41" s="398">
        <f t="shared" si="31"/>
        <v>455</v>
      </c>
      <c r="N41" s="399">
        <v>250</v>
      </c>
      <c r="O41" s="374"/>
      <c r="P41" s="401">
        <f aca="true" t="shared" si="39" ref="P41:P52">(H41+J41)*0.5</f>
        <v>79625</v>
      </c>
      <c r="Q41" s="401">
        <f aca="true" t="shared" si="40" ref="Q41:Q52">Q40</f>
        <v>0.7</v>
      </c>
      <c r="R41" s="410">
        <v>0.0265</v>
      </c>
      <c r="S41" s="403">
        <v>0.13568</v>
      </c>
      <c r="T41" s="380"/>
      <c r="U41" s="390">
        <f>V40+1</f>
        <v>50001</v>
      </c>
      <c r="V41" s="390">
        <f>100000</f>
        <v>100000</v>
      </c>
      <c r="W41" s="405">
        <f>AA40</f>
        <v>45000</v>
      </c>
      <c r="X41" s="402">
        <f aca="true" t="shared" si="41" ref="X41:X53">AG41*AF41</f>
        <v>0.018549999999999997</v>
      </c>
      <c r="Y41" s="411">
        <f aca="true" t="shared" si="42" ref="Y41:Y53">AB40</f>
        <v>112500</v>
      </c>
      <c r="Z41" s="403">
        <f aca="true" t="shared" si="43" ref="Z41:Z53">AH41*AF41</f>
        <v>0.09497599999999999</v>
      </c>
      <c r="AA41" s="393">
        <f t="shared" si="32"/>
        <v>45500</v>
      </c>
      <c r="AB41" s="393">
        <f t="shared" si="33"/>
        <v>113750</v>
      </c>
      <c r="AC41" s="408">
        <f t="shared" si="34"/>
        <v>455</v>
      </c>
      <c r="AD41" s="408">
        <v>250</v>
      </c>
      <c r="AE41" s="401">
        <f aca="true" t="shared" si="44" ref="AE41:AE52">(AA41+AB41)*0.5</f>
        <v>79625</v>
      </c>
      <c r="AF41" s="401">
        <f aca="true" t="shared" si="45" ref="AF41:AF52">AF40</f>
        <v>0.7</v>
      </c>
      <c r="AG41" s="410">
        <v>0.0265</v>
      </c>
      <c r="AH41" s="403">
        <v>0.13568</v>
      </c>
    </row>
    <row r="42" spans="1:34" s="375" customFormat="1" ht="15" customHeight="1">
      <c r="A42" s="390">
        <f aca="true" t="shared" si="46" ref="A42:A53">B41+1</f>
        <v>180001</v>
      </c>
      <c r="B42" s="390">
        <f>200000*1.8</f>
        <v>360000</v>
      </c>
      <c r="C42" s="391">
        <f>C41+(B42-B41)*D42</f>
        <v>2970</v>
      </c>
      <c r="D42" s="413">
        <v>0.0015</v>
      </c>
      <c r="F42" s="389">
        <f aca="true" t="shared" si="47" ref="F42:F53">G41+1</f>
        <v>180001</v>
      </c>
      <c r="G42" s="390">
        <f>200000*1.8</f>
        <v>360000</v>
      </c>
      <c r="H42" s="393">
        <f t="shared" si="30"/>
        <v>47500</v>
      </c>
      <c r="I42" s="394">
        <f t="shared" si="35"/>
        <v>0.010017</v>
      </c>
      <c r="J42" s="395">
        <f t="shared" si="36"/>
        <v>118750</v>
      </c>
      <c r="K42" s="396">
        <f t="shared" si="37"/>
        <v>0.053794999999999996</v>
      </c>
      <c r="L42" s="397">
        <f t="shared" si="38"/>
        <v>83125</v>
      </c>
      <c r="M42" s="398">
        <f t="shared" si="31"/>
        <v>475</v>
      </c>
      <c r="N42" s="399">
        <v>250</v>
      </c>
      <c r="O42" s="374"/>
      <c r="P42" s="401">
        <f t="shared" si="39"/>
        <v>83125</v>
      </c>
      <c r="Q42" s="401">
        <f t="shared" si="40"/>
        <v>0.7</v>
      </c>
      <c r="R42" s="410">
        <v>0.01431</v>
      </c>
      <c r="S42" s="403">
        <v>0.07685</v>
      </c>
      <c r="T42" s="380"/>
      <c r="U42" s="390">
        <f aca="true" t="shared" si="48" ref="U42:U53">V41+1</f>
        <v>100001</v>
      </c>
      <c r="V42" s="390">
        <f>200000</f>
        <v>200000</v>
      </c>
      <c r="W42" s="405">
        <f aca="true" t="shared" si="49" ref="W42:W52">AA41</f>
        <v>45500</v>
      </c>
      <c r="X42" s="402">
        <f t="shared" si="41"/>
        <v>0.010017</v>
      </c>
      <c r="Y42" s="411">
        <f t="shared" si="42"/>
        <v>113750</v>
      </c>
      <c r="Z42" s="403">
        <f t="shared" si="43"/>
        <v>0.053794999999999996</v>
      </c>
      <c r="AA42" s="393">
        <f t="shared" si="32"/>
        <v>47500</v>
      </c>
      <c r="AB42" s="393">
        <f t="shared" si="33"/>
        <v>118750</v>
      </c>
      <c r="AC42" s="408">
        <f t="shared" si="34"/>
        <v>475</v>
      </c>
      <c r="AD42" s="408">
        <v>250</v>
      </c>
      <c r="AE42" s="401">
        <f t="shared" si="44"/>
        <v>83125</v>
      </c>
      <c r="AF42" s="401">
        <f t="shared" si="45"/>
        <v>0.7</v>
      </c>
      <c r="AG42" s="410">
        <v>0.01431</v>
      </c>
      <c r="AH42" s="403">
        <v>0.07685</v>
      </c>
    </row>
    <row r="43" spans="1:34" s="375" customFormat="1" ht="15" customHeight="1">
      <c r="A43" s="390">
        <f t="shared" si="46"/>
        <v>360001</v>
      </c>
      <c r="B43" s="390">
        <f>500000*1.8</f>
        <v>900000</v>
      </c>
      <c r="C43" s="391">
        <f aca="true" t="shared" si="50" ref="C43:C52">C42+(B43-B42)*D43</f>
        <v>3510</v>
      </c>
      <c r="D43" s="413">
        <v>0.001</v>
      </c>
      <c r="F43" s="389">
        <f t="shared" si="47"/>
        <v>360001</v>
      </c>
      <c r="G43" s="390">
        <f>500000*1.8</f>
        <v>900000</v>
      </c>
      <c r="H43" s="393">
        <f t="shared" si="30"/>
        <v>50200</v>
      </c>
      <c r="I43" s="394">
        <f t="shared" si="35"/>
        <v>0.009569</v>
      </c>
      <c r="J43" s="395">
        <f t="shared" si="36"/>
        <v>125500</v>
      </c>
      <c r="K43" s="396">
        <f t="shared" si="37"/>
        <v>0.047859</v>
      </c>
      <c r="L43" s="397">
        <f t="shared" si="38"/>
        <v>87850</v>
      </c>
      <c r="M43" s="398">
        <f t="shared" si="31"/>
        <v>502</v>
      </c>
      <c r="N43" s="399">
        <v>250</v>
      </c>
      <c r="O43" s="374"/>
      <c r="P43" s="401">
        <f t="shared" si="39"/>
        <v>87850</v>
      </c>
      <c r="Q43" s="401">
        <f t="shared" si="40"/>
        <v>0.7</v>
      </c>
      <c r="R43" s="410">
        <v>0.01367</v>
      </c>
      <c r="S43" s="403">
        <v>0.06837</v>
      </c>
      <c r="T43" s="380"/>
      <c r="U43" s="390">
        <f t="shared" si="48"/>
        <v>200001</v>
      </c>
      <c r="V43" s="390">
        <f>500000</f>
        <v>500000</v>
      </c>
      <c r="W43" s="405">
        <f t="shared" si="49"/>
        <v>47500</v>
      </c>
      <c r="X43" s="402">
        <f t="shared" si="41"/>
        <v>0.009569</v>
      </c>
      <c r="Y43" s="411">
        <f t="shared" si="42"/>
        <v>118750</v>
      </c>
      <c r="Z43" s="403">
        <f t="shared" si="43"/>
        <v>0.047859</v>
      </c>
      <c r="AA43" s="393">
        <f t="shared" si="32"/>
        <v>50200</v>
      </c>
      <c r="AB43" s="393">
        <f t="shared" si="33"/>
        <v>125500</v>
      </c>
      <c r="AC43" s="408">
        <f t="shared" si="34"/>
        <v>502</v>
      </c>
      <c r="AD43" s="408">
        <v>250</v>
      </c>
      <c r="AE43" s="401">
        <f t="shared" si="44"/>
        <v>87850</v>
      </c>
      <c r="AF43" s="401">
        <f t="shared" si="45"/>
        <v>0.7</v>
      </c>
      <c r="AG43" s="410">
        <v>0.01367</v>
      </c>
      <c r="AH43" s="403">
        <v>0.06837</v>
      </c>
    </row>
    <row r="44" spans="1:34" s="375" customFormat="1" ht="15" customHeight="1">
      <c r="A44" s="390">
        <f t="shared" si="46"/>
        <v>900001</v>
      </c>
      <c r="B44" s="390">
        <f>1000000*1.8</f>
        <v>1800000</v>
      </c>
      <c r="C44" s="391">
        <f t="shared" si="50"/>
        <v>3645</v>
      </c>
      <c r="D44" s="413">
        <v>0.00015</v>
      </c>
      <c r="F44" s="389">
        <f t="shared" si="47"/>
        <v>900001</v>
      </c>
      <c r="G44" s="390">
        <f>1000000*1.8</f>
        <v>1800000</v>
      </c>
      <c r="H44" s="393">
        <f t="shared" si="30"/>
        <v>52900</v>
      </c>
      <c r="I44" s="394">
        <f t="shared" si="35"/>
        <v>0.006678</v>
      </c>
      <c r="J44" s="395">
        <f t="shared" si="36"/>
        <v>132250</v>
      </c>
      <c r="K44" s="396">
        <f t="shared" si="37"/>
        <v>0.028196</v>
      </c>
      <c r="L44" s="397">
        <f t="shared" si="38"/>
        <v>92575</v>
      </c>
      <c r="M44" s="398">
        <f t="shared" si="31"/>
        <v>529</v>
      </c>
      <c r="N44" s="399">
        <v>250</v>
      </c>
      <c r="O44" s="374"/>
      <c r="P44" s="401">
        <f t="shared" si="39"/>
        <v>92575</v>
      </c>
      <c r="Q44" s="401">
        <f t="shared" si="40"/>
        <v>0.7</v>
      </c>
      <c r="R44" s="410">
        <v>0.00954</v>
      </c>
      <c r="S44" s="403">
        <v>0.04028</v>
      </c>
      <c r="T44" s="380"/>
      <c r="U44" s="390">
        <f t="shared" si="48"/>
        <v>500001</v>
      </c>
      <c r="V44" s="390">
        <f>1000000</f>
        <v>1000000</v>
      </c>
      <c r="W44" s="405">
        <f t="shared" si="49"/>
        <v>50200</v>
      </c>
      <c r="X44" s="402">
        <f t="shared" si="41"/>
        <v>0.006678</v>
      </c>
      <c r="Y44" s="411">
        <f t="shared" si="42"/>
        <v>125500</v>
      </c>
      <c r="Z44" s="403">
        <f t="shared" si="43"/>
        <v>0.028196</v>
      </c>
      <c r="AA44" s="393">
        <f t="shared" si="32"/>
        <v>52900</v>
      </c>
      <c r="AB44" s="393">
        <f t="shared" si="33"/>
        <v>132250</v>
      </c>
      <c r="AC44" s="408">
        <f t="shared" si="34"/>
        <v>529</v>
      </c>
      <c r="AD44" s="408">
        <v>250</v>
      </c>
      <c r="AE44" s="401">
        <f t="shared" si="44"/>
        <v>92575</v>
      </c>
      <c r="AF44" s="401">
        <f t="shared" si="45"/>
        <v>0.7</v>
      </c>
      <c r="AG44" s="410">
        <v>0.00954</v>
      </c>
      <c r="AH44" s="403">
        <v>0.04028</v>
      </c>
    </row>
    <row r="45" spans="1:34" s="377" customFormat="1" ht="15" customHeight="1">
      <c r="A45" s="390">
        <f t="shared" si="46"/>
        <v>1800001</v>
      </c>
      <c r="B45" s="390">
        <f>2000000*1.8</f>
        <v>3600000</v>
      </c>
      <c r="C45" s="391">
        <f t="shared" si="50"/>
        <v>3897</v>
      </c>
      <c r="D45" s="413">
        <v>0.00014</v>
      </c>
      <c r="E45" s="375"/>
      <c r="F45" s="389">
        <f t="shared" si="47"/>
        <v>1800001</v>
      </c>
      <c r="G45" s="390">
        <f>2000000*1.8</f>
        <v>3600000</v>
      </c>
      <c r="H45" s="393">
        <f t="shared" si="30"/>
        <v>55800</v>
      </c>
      <c r="I45" s="394">
        <f t="shared" si="35"/>
        <v>0.004823</v>
      </c>
      <c r="J45" s="395">
        <f t="shared" si="36"/>
        <v>161820</v>
      </c>
      <c r="K45" s="396">
        <f t="shared" si="37"/>
        <v>0.025228</v>
      </c>
      <c r="L45" s="397">
        <f t="shared" si="38"/>
        <v>108810</v>
      </c>
      <c r="M45" s="398">
        <f t="shared" si="31"/>
        <v>558</v>
      </c>
      <c r="N45" s="399">
        <v>290</v>
      </c>
      <c r="P45" s="401">
        <f t="shared" si="39"/>
        <v>108810</v>
      </c>
      <c r="Q45" s="401">
        <f t="shared" si="40"/>
        <v>0.7</v>
      </c>
      <c r="R45" s="410">
        <v>0.00689</v>
      </c>
      <c r="S45" s="403">
        <v>0.03604</v>
      </c>
      <c r="T45" s="380"/>
      <c r="U45" s="390">
        <f t="shared" si="48"/>
        <v>1000001</v>
      </c>
      <c r="V45" s="390">
        <f>2000000</f>
        <v>2000000</v>
      </c>
      <c r="W45" s="405">
        <f t="shared" si="49"/>
        <v>52900</v>
      </c>
      <c r="X45" s="402">
        <f t="shared" si="41"/>
        <v>0.004823</v>
      </c>
      <c r="Y45" s="411">
        <f t="shared" si="42"/>
        <v>132250</v>
      </c>
      <c r="Z45" s="403">
        <f t="shared" si="43"/>
        <v>0.025228</v>
      </c>
      <c r="AA45" s="393">
        <f t="shared" si="32"/>
        <v>55800</v>
      </c>
      <c r="AB45" s="393">
        <f t="shared" si="33"/>
        <v>161820</v>
      </c>
      <c r="AC45" s="408">
        <f t="shared" si="34"/>
        <v>558</v>
      </c>
      <c r="AD45" s="408">
        <v>290</v>
      </c>
      <c r="AE45" s="401">
        <f t="shared" si="44"/>
        <v>108810</v>
      </c>
      <c r="AF45" s="401">
        <f t="shared" si="45"/>
        <v>0.7</v>
      </c>
      <c r="AG45" s="410">
        <v>0.00689</v>
      </c>
      <c r="AH45" s="403">
        <v>0.03604</v>
      </c>
    </row>
    <row r="46" spans="1:34" s="377" customFormat="1" ht="15" customHeight="1">
      <c r="A46" s="390">
        <f t="shared" si="46"/>
        <v>3600001</v>
      </c>
      <c r="B46" s="390">
        <f>5000000*1.8</f>
        <v>9000000</v>
      </c>
      <c r="C46" s="391">
        <f t="shared" si="50"/>
        <v>4383</v>
      </c>
      <c r="D46" s="413">
        <v>9E-05</v>
      </c>
      <c r="E46" s="375"/>
      <c r="F46" s="389">
        <f t="shared" si="47"/>
        <v>3600001</v>
      </c>
      <c r="G46" s="390">
        <f>5000000*1.8</f>
        <v>9000000</v>
      </c>
      <c r="H46" s="393">
        <f t="shared" si="30"/>
        <v>59000</v>
      </c>
      <c r="I46" s="394">
        <f t="shared" si="35"/>
        <v>0.0026249999999999997</v>
      </c>
      <c r="J46" s="395">
        <f t="shared" si="36"/>
        <v>197650</v>
      </c>
      <c r="K46" s="396">
        <f t="shared" si="37"/>
        <v>0.009736999999999999</v>
      </c>
      <c r="L46" s="397">
        <f t="shared" si="38"/>
        <v>128325</v>
      </c>
      <c r="M46" s="398">
        <f t="shared" si="31"/>
        <v>590</v>
      </c>
      <c r="N46" s="399">
        <v>335</v>
      </c>
      <c r="P46" s="401">
        <f t="shared" si="39"/>
        <v>128325</v>
      </c>
      <c r="Q46" s="401">
        <f>Q45</f>
        <v>0.7</v>
      </c>
      <c r="R46" s="410">
        <v>0.00375</v>
      </c>
      <c r="S46" s="403">
        <v>0.01391</v>
      </c>
      <c r="T46" s="380"/>
      <c r="U46" s="390">
        <f t="shared" si="48"/>
        <v>2000001</v>
      </c>
      <c r="V46" s="390">
        <f>5000000</f>
        <v>5000000</v>
      </c>
      <c r="W46" s="405">
        <f t="shared" si="49"/>
        <v>55800</v>
      </c>
      <c r="X46" s="402">
        <f t="shared" si="41"/>
        <v>0.0026249999999999997</v>
      </c>
      <c r="Y46" s="411">
        <f t="shared" si="42"/>
        <v>161820</v>
      </c>
      <c r="Z46" s="403">
        <f t="shared" si="43"/>
        <v>0.009736999999999999</v>
      </c>
      <c r="AA46" s="393">
        <f t="shared" si="32"/>
        <v>59000</v>
      </c>
      <c r="AB46" s="393">
        <f t="shared" si="33"/>
        <v>197650</v>
      </c>
      <c r="AC46" s="408">
        <f t="shared" si="34"/>
        <v>590</v>
      </c>
      <c r="AD46" s="408">
        <v>335</v>
      </c>
      <c r="AE46" s="401">
        <f t="shared" si="44"/>
        <v>128325</v>
      </c>
      <c r="AF46" s="401">
        <f>AF45</f>
        <v>0.7</v>
      </c>
      <c r="AG46" s="410">
        <v>0.00375</v>
      </c>
      <c r="AH46" s="403">
        <v>0.01391</v>
      </c>
    </row>
    <row r="47" spans="1:34" s="377" customFormat="1" ht="15" customHeight="1">
      <c r="A47" s="390">
        <f t="shared" si="46"/>
        <v>9000001</v>
      </c>
      <c r="B47" s="414">
        <f>10000000*1.8</f>
        <v>18000000</v>
      </c>
      <c r="C47" s="391">
        <f t="shared" si="50"/>
        <v>5103</v>
      </c>
      <c r="D47" s="413">
        <v>8E-05</v>
      </c>
      <c r="E47" s="375"/>
      <c r="F47" s="389">
        <f t="shared" si="47"/>
        <v>9000001</v>
      </c>
      <c r="G47" s="414">
        <f>10000000*1.8</f>
        <v>18000000</v>
      </c>
      <c r="H47" s="421">
        <f aca="true" t="shared" si="51" ref="H47:H53">(((G47-G46)*I47)+H46)</f>
        <v>67064</v>
      </c>
      <c r="I47" s="402">
        <f t="shared" si="35"/>
        <v>0.000896</v>
      </c>
      <c r="J47" s="421">
        <f aca="true" t="shared" si="52" ref="J47:J53">(((G47-G46)*K47)+J46)</f>
        <v>254980</v>
      </c>
      <c r="K47" s="403">
        <f t="shared" si="37"/>
        <v>0.00637</v>
      </c>
      <c r="L47" s="397">
        <f t="shared" si="38"/>
        <v>161022</v>
      </c>
      <c r="M47" s="455"/>
      <c r="N47" s="416"/>
      <c r="O47" s="407"/>
      <c r="P47" s="401">
        <f t="shared" si="39"/>
        <v>161022</v>
      </c>
      <c r="Q47" s="401">
        <f t="shared" si="40"/>
        <v>0.7</v>
      </c>
      <c r="R47" s="410">
        <v>0.00128</v>
      </c>
      <c r="S47" s="403">
        <v>0.0091</v>
      </c>
      <c r="T47" s="380"/>
      <c r="U47" s="390">
        <f t="shared" si="48"/>
        <v>5000001</v>
      </c>
      <c r="V47" s="414">
        <f>10000000</f>
        <v>10000000</v>
      </c>
      <c r="W47" s="417">
        <f t="shared" si="49"/>
        <v>59000</v>
      </c>
      <c r="X47" s="402">
        <f t="shared" si="41"/>
        <v>0.000896</v>
      </c>
      <c r="Y47" s="419">
        <f t="shared" si="42"/>
        <v>197650</v>
      </c>
      <c r="Z47" s="403">
        <f t="shared" si="43"/>
        <v>0.00637</v>
      </c>
      <c r="AA47" s="454">
        <f aca="true" t="shared" si="53" ref="AA47:AA52">(((V47-V46)*X47)+W47)</f>
        <v>63480</v>
      </c>
      <c r="AB47" s="454">
        <f aca="true" t="shared" si="54" ref="AB47:AB52">(((V47-V46)*Z47)+Y47)</f>
        <v>229500</v>
      </c>
      <c r="AC47" s="387"/>
      <c r="AD47" s="407"/>
      <c r="AE47" s="401">
        <f t="shared" si="44"/>
        <v>146490</v>
      </c>
      <c r="AF47" s="401">
        <f t="shared" si="45"/>
        <v>0.7</v>
      </c>
      <c r="AG47" s="410">
        <v>0.00128</v>
      </c>
      <c r="AH47" s="403">
        <v>0.0091</v>
      </c>
    </row>
    <row r="48" spans="1:34" s="377" customFormat="1" ht="15" customHeight="1">
      <c r="A48" s="390">
        <f t="shared" si="46"/>
        <v>18000001</v>
      </c>
      <c r="B48" s="414">
        <f>30000000*1.8</f>
        <v>54000000</v>
      </c>
      <c r="C48" s="391">
        <f t="shared" si="50"/>
        <v>6543</v>
      </c>
      <c r="D48" s="413">
        <v>4E-05</v>
      </c>
      <c r="E48" s="375"/>
      <c r="F48" s="389">
        <f t="shared" si="47"/>
        <v>18000001</v>
      </c>
      <c r="G48" s="414">
        <f>30000000*1.8</f>
        <v>54000000</v>
      </c>
      <c r="H48" s="421">
        <f t="shared" si="51"/>
        <v>83192</v>
      </c>
      <c r="I48" s="402">
        <f t="shared" si="35"/>
        <v>0.000448</v>
      </c>
      <c r="J48" s="421">
        <f t="shared" si="52"/>
        <v>315712</v>
      </c>
      <c r="K48" s="403">
        <f t="shared" si="37"/>
        <v>0.0016869999999999997</v>
      </c>
      <c r="L48" s="397">
        <f t="shared" si="38"/>
        <v>199452</v>
      </c>
      <c r="M48" s="455"/>
      <c r="N48" s="416"/>
      <c r="O48" s="407"/>
      <c r="P48" s="401">
        <f t="shared" si="39"/>
        <v>199452</v>
      </c>
      <c r="Q48" s="401">
        <f>Q47</f>
        <v>0.7</v>
      </c>
      <c r="R48" s="410">
        <v>0.00064</v>
      </c>
      <c r="S48" s="403">
        <v>0.00241</v>
      </c>
      <c r="T48" s="380"/>
      <c r="U48" s="390">
        <f t="shared" si="48"/>
        <v>10000001</v>
      </c>
      <c r="V48" s="414">
        <f>30000000</f>
        <v>30000000</v>
      </c>
      <c r="W48" s="417">
        <f t="shared" si="49"/>
        <v>63480</v>
      </c>
      <c r="X48" s="402">
        <f t="shared" si="41"/>
        <v>0.000448</v>
      </c>
      <c r="Y48" s="419">
        <f t="shared" si="42"/>
        <v>229500</v>
      </c>
      <c r="Z48" s="403">
        <f t="shared" si="43"/>
        <v>0.0016869999999999997</v>
      </c>
      <c r="AA48" s="454">
        <f t="shared" si="53"/>
        <v>72440</v>
      </c>
      <c r="AB48" s="454">
        <f t="shared" si="54"/>
        <v>263240</v>
      </c>
      <c r="AC48" s="387"/>
      <c r="AD48" s="407"/>
      <c r="AE48" s="401">
        <f t="shared" si="44"/>
        <v>167840</v>
      </c>
      <c r="AF48" s="401">
        <f>AF47</f>
        <v>0.7</v>
      </c>
      <c r="AG48" s="410">
        <v>0.00064</v>
      </c>
      <c r="AH48" s="403">
        <v>0.00241</v>
      </c>
    </row>
    <row r="49" spans="1:34" s="377" customFormat="1" ht="15" customHeight="1">
      <c r="A49" s="390">
        <f t="shared" si="46"/>
        <v>54000001</v>
      </c>
      <c r="B49" s="414">
        <f>50000000*1.8</f>
        <v>90000000</v>
      </c>
      <c r="C49" s="391">
        <f t="shared" si="50"/>
        <v>7983</v>
      </c>
      <c r="D49" s="413">
        <v>4E-05</v>
      </c>
      <c r="E49" s="375"/>
      <c r="F49" s="389">
        <f t="shared" si="47"/>
        <v>54000001</v>
      </c>
      <c r="G49" s="414">
        <f>50000000*1.8</f>
        <v>90000000</v>
      </c>
      <c r="H49" s="421">
        <f t="shared" si="51"/>
        <v>98060</v>
      </c>
      <c r="I49" s="402">
        <f t="shared" si="35"/>
        <v>0.000413</v>
      </c>
      <c r="J49" s="421">
        <f t="shared" si="52"/>
        <v>373168</v>
      </c>
      <c r="K49" s="403">
        <f t="shared" si="37"/>
        <v>0.0015959999999999998</v>
      </c>
      <c r="L49" s="397">
        <f t="shared" si="38"/>
        <v>235614</v>
      </c>
      <c r="M49" s="455"/>
      <c r="N49" s="416"/>
      <c r="O49" s="407"/>
      <c r="P49" s="401">
        <f t="shared" si="39"/>
        <v>235614</v>
      </c>
      <c r="Q49" s="401">
        <f>Q48</f>
        <v>0.7</v>
      </c>
      <c r="R49" s="410">
        <v>0.00059</v>
      </c>
      <c r="S49" s="403">
        <v>0.00228</v>
      </c>
      <c r="T49" s="380"/>
      <c r="U49" s="390">
        <f t="shared" si="48"/>
        <v>30000001</v>
      </c>
      <c r="V49" s="414">
        <f>50000000</f>
        <v>50000000</v>
      </c>
      <c r="W49" s="417">
        <f t="shared" si="49"/>
        <v>72440</v>
      </c>
      <c r="X49" s="402">
        <f t="shared" si="41"/>
        <v>0.000413</v>
      </c>
      <c r="Y49" s="419">
        <f t="shared" si="42"/>
        <v>263240</v>
      </c>
      <c r="Z49" s="403">
        <f t="shared" si="43"/>
        <v>0.0015959999999999998</v>
      </c>
      <c r="AA49" s="454">
        <f t="shared" si="53"/>
        <v>80700</v>
      </c>
      <c r="AB49" s="454">
        <f t="shared" si="54"/>
        <v>295160</v>
      </c>
      <c r="AC49" s="387"/>
      <c r="AD49" s="407"/>
      <c r="AE49" s="401">
        <f t="shared" si="44"/>
        <v>187930</v>
      </c>
      <c r="AF49" s="401">
        <f>AF48</f>
        <v>0.7</v>
      </c>
      <c r="AG49" s="410">
        <v>0.00059</v>
      </c>
      <c r="AH49" s="403">
        <v>0.00228</v>
      </c>
    </row>
    <row r="50" spans="1:34" s="377" customFormat="1" ht="15" customHeight="1">
      <c r="A50" s="390">
        <f t="shared" si="46"/>
        <v>90000001</v>
      </c>
      <c r="B50" s="414">
        <f>80000000*1.8</f>
        <v>144000000</v>
      </c>
      <c r="C50" s="391">
        <f t="shared" si="50"/>
        <v>9603</v>
      </c>
      <c r="D50" s="413">
        <v>3E-05</v>
      </c>
      <c r="E50" s="375"/>
      <c r="F50" s="389">
        <f t="shared" si="47"/>
        <v>90000001</v>
      </c>
      <c r="G50" s="414">
        <f>80000000*1.8</f>
        <v>144000000</v>
      </c>
      <c r="H50" s="421">
        <f t="shared" si="51"/>
        <v>110534</v>
      </c>
      <c r="I50" s="402">
        <f t="shared" si="35"/>
        <v>0.00023099999999999998</v>
      </c>
      <c r="J50" s="421">
        <f t="shared" si="52"/>
        <v>432514</v>
      </c>
      <c r="K50" s="403">
        <f t="shared" si="37"/>
        <v>0.001099</v>
      </c>
      <c r="L50" s="397">
        <f t="shared" si="38"/>
        <v>271524</v>
      </c>
      <c r="M50" s="455"/>
      <c r="N50" s="416"/>
      <c r="O50" s="407"/>
      <c r="P50" s="401">
        <f t="shared" si="39"/>
        <v>271524</v>
      </c>
      <c r="Q50" s="401">
        <f t="shared" si="40"/>
        <v>0.7</v>
      </c>
      <c r="R50" s="410">
        <v>0.00033</v>
      </c>
      <c r="S50" s="403">
        <v>0.00157</v>
      </c>
      <c r="T50" s="380"/>
      <c r="U50" s="390">
        <f t="shared" si="48"/>
        <v>50000001</v>
      </c>
      <c r="V50" s="414">
        <f>80000000</f>
        <v>80000000</v>
      </c>
      <c r="W50" s="417">
        <f t="shared" si="49"/>
        <v>80700</v>
      </c>
      <c r="X50" s="402">
        <f t="shared" si="41"/>
        <v>0.00023099999999999998</v>
      </c>
      <c r="Y50" s="419">
        <f t="shared" si="42"/>
        <v>295160</v>
      </c>
      <c r="Z50" s="403">
        <f t="shared" si="43"/>
        <v>0.001099</v>
      </c>
      <c r="AA50" s="454">
        <f t="shared" si="53"/>
        <v>87630</v>
      </c>
      <c r="AB50" s="454">
        <f t="shared" si="54"/>
        <v>328130</v>
      </c>
      <c r="AC50" s="387"/>
      <c r="AD50" s="407"/>
      <c r="AE50" s="401">
        <f t="shared" si="44"/>
        <v>207880</v>
      </c>
      <c r="AF50" s="401">
        <f t="shared" si="45"/>
        <v>0.7</v>
      </c>
      <c r="AG50" s="410">
        <v>0.00033</v>
      </c>
      <c r="AH50" s="403">
        <v>0.00157</v>
      </c>
    </row>
    <row r="51" spans="1:34" s="377" customFormat="1" ht="15" customHeight="1">
      <c r="A51" s="390">
        <f t="shared" si="46"/>
        <v>144000001</v>
      </c>
      <c r="B51" s="414">
        <f>100000000*1.8</f>
        <v>180000000</v>
      </c>
      <c r="C51" s="391">
        <f t="shared" si="50"/>
        <v>10323</v>
      </c>
      <c r="D51" s="413">
        <v>2E-05</v>
      </c>
      <c r="E51" s="375"/>
      <c r="F51" s="389">
        <f t="shared" si="47"/>
        <v>144000001</v>
      </c>
      <c r="G51" s="414">
        <f>100000000*1.8</f>
        <v>180000000</v>
      </c>
      <c r="H51" s="421">
        <f t="shared" si="51"/>
        <v>115826</v>
      </c>
      <c r="I51" s="402">
        <f t="shared" si="35"/>
        <v>0.000147</v>
      </c>
      <c r="J51" s="421">
        <f t="shared" si="52"/>
        <v>461494</v>
      </c>
      <c r="K51" s="403">
        <f t="shared" si="37"/>
        <v>0.0008049999999999999</v>
      </c>
      <c r="L51" s="397">
        <f t="shared" si="38"/>
        <v>288660</v>
      </c>
      <c r="M51" s="456"/>
      <c r="N51" s="416"/>
      <c r="O51" s="407"/>
      <c r="P51" s="401">
        <f t="shared" si="39"/>
        <v>288660</v>
      </c>
      <c r="Q51" s="401">
        <f t="shared" si="40"/>
        <v>0.7</v>
      </c>
      <c r="R51" s="410">
        <v>0.00021</v>
      </c>
      <c r="S51" s="403">
        <v>0.00115</v>
      </c>
      <c r="T51" s="380"/>
      <c r="U51" s="390">
        <f t="shared" si="48"/>
        <v>80000001</v>
      </c>
      <c r="V51" s="414">
        <f>100000000</f>
        <v>100000000</v>
      </c>
      <c r="W51" s="417">
        <f t="shared" si="49"/>
        <v>87630</v>
      </c>
      <c r="X51" s="402">
        <f t="shared" si="41"/>
        <v>0.000147</v>
      </c>
      <c r="Y51" s="419">
        <f t="shared" si="42"/>
        <v>328130</v>
      </c>
      <c r="Z51" s="403">
        <f t="shared" si="43"/>
        <v>0.0008049999999999999</v>
      </c>
      <c r="AA51" s="454">
        <f t="shared" si="53"/>
        <v>90570</v>
      </c>
      <c r="AB51" s="454">
        <f t="shared" si="54"/>
        <v>344230</v>
      </c>
      <c r="AC51" s="387"/>
      <c r="AD51" s="407"/>
      <c r="AE51" s="401">
        <f t="shared" si="44"/>
        <v>217400</v>
      </c>
      <c r="AF51" s="401">
        <f t="shared" si="45"/>
        <v>0.7</v>
      </c>
      <c r="AG51" s="410">
        <v>0.00021</v>
      </c>
      <c r="AH51" s="403">
        <v>0.00115</v>
      </c>
    </row>
    <row r="52" spans="1:34" s="377" customFormat="1" ht="15" customHeight="1">
      <c r="A52" s="390">
        <f t="shared" si="46"/>
        <v>180000001</v>
      </c>
      <c r="B52" s="414">
        <f>500000000*1.8</f>
        <v>900000000</v>
      </c>
      <c r="C52" s="391">
        <f t="shared" si="50"/>
        <v>11043</v>
      </c>
      <c r="D52" s="413">
        <v>1E-06</v>
      </c>
      <c r="E52" s="375"/>
      <c r="F52" s="389">
        <f t="shared" si="47"/>
        <v>180000001</v>
      </c>
      <c r="G52" s="414">
        <f>500000000*1.8</f>
        <v>900000000</v>
      </c>
      <c r="H52" s="421">
        <f t="shared" si="51"/>
        <v>171266</v>
      </c>
      <c r="I52" s="402">
        <f t="shared" si="35"/>
        <v>7.7E-05</v>
      </c>
      <c r="J52" s="421">
        <f t="shared" si="52"/>
        <v>753814</v>
      </c>
      <c r="K52" s="403">
        <f t="shared" si="37"/>
        <v>0.000406</v>
      </c>
      <c r="L52" s="397">
        <f t="shared" si="38"/>
        <v>462540</v>
      </c>
      <c r="M52" s="456"/>
      <c r="N52" s="416"/>
      <c r="O52" s="407"/>
      <c r="P52" s="401">
        <f t="shared" si="39"/>
        <v>462540</v>
      </c>
      <c r="Q52" s="401">
        <f t="shared" si="40"/>
        <v>0.7</v>
      </c>
      <c r="R52" s="410">
        <v>0.00011</v>
      </c>
      <c r="S52" s="403">
        <v>0.00058</v>
      </c>
      <c r="T52" s="380"/>
      <c r="U52" s="390">
        <f t="shared" si="48"/>
        <v>100000001</v>
      </c>
      <c r="V52" s="414">
        <f>500000000</f>
        <v>500000000</v>
      </c>
      <c r="W52" s="417">
        <f t="shared" si="49"/>
        <v>90570</v>
      </c>
      <c r="X52" s="402">
        <f t="shared" si="41"/>
        <v>7.7E-05</v>
      </c>
      <c r="Y52" s="419">
        <f t="shared" si="42"/>
        <v>344230</v>
      </c>
      <c r="Z52" s="403">
        <f t="shared" si="43"/>
        <v>0.000406</v>
      </c>
      <c r="AA52" s="454">
        <f t="shared" si="53"/>
        <v>121370</v>
      </c>
      <c r="AB52" s="454">
        <f t="shared" si="54"/>
        <v>506630</v>
      </c>
      <c r="AC52" s="387"/>
      <c r="AD52" s="407"/>
      <c r="AE52" s="401">
        <f t="shared" si="44"/>
        <v>314000</v>
      </c>
      <c r="AF52" s="401">
        <f t="shared" si="45"/>
        <v>0.7</v>
      </c>
      <c r="AG52" s="410">
        <v>0.00011</v>
      </c>
      <c r="AH52" s="403">
        <v>0.00058</v>
      </c>
    </row>
    <row r="53" spans="1:34" s="377" customFormat="1" ht="15" customHeight="1">
      <c r="A53" s="390">
        <f t="shared" si="46"/>
        <v>900000001</v>
      </c>
      <c r="B53" s="422"/>
      <c r="C53" s="391"/>
      <c r="D53" s="413">
        <v>1E-06</v>
      </c>
      <c r="E53" s="375"/>
      <c r="F53" s="389">
        <f t="shared" si="47"/>
        <v>900000001</v>
      </c>
      <c r="G53" s="423"/>
      <c r="H53" s="510">
        <f t="shared" si="51"/>
        <v>101966</v>
      </c>
      <c r="I53" s="402">
        <f t="shared" si="35"/>
        <v>7.7E-05</v>
      </c>
      <c r="J53" s="421">
        <f t="shared" si="52"/>
        <v>476614</v>
      </c>
      <c r="K53" s="403">
        <f t="shared" si="37"/>
        <v>0.000308</v>
      </c>
      <c r="L53" s="397">
        <f t="shared" si="38"/>
        <v>289290</v>
      </c>
      <c r="M53" s="457"/>
      <c r="N53" s="416"/>
      <c r="O53" s="407"/>
      <c r="P53" s="375"/>
      <c r="Q53" s="401">
        <f>Q52</f>
        <v>0.7</v>
      </c>
      <c r="R53" s="425">
        <v>0.00011</v>
      </c>
      <c r="S53" s="425">
        <v>0.00044</v>
      </c>
      <c r="T53" s="380"/>
      <c r="U53" s="390">
        <f t="shared" si="48"/>
        <v>500000001</v>
      </c>
      <c r="V53" s="423"/>
      <c r="W53" s="422">
        <f>AA52</f>
        <v>121370</v>
      </c>
      <c r="X53" s="402">
        <f t="shared" si="41"/>
        <v>7E-05</v>
      </c>
      <c r="Y53" s="422">
        <f t="shared" si="42"/>
        <v>506630</v>
      </c>
      <c r="Z53" s="403">
        <f t="shared" si="43"/>
        <v>2.8E-06</v>
      </c>
      <c r="AA53" s="458"/>
      <c r="AB53" s="458"/>
      <c r="AC53" s="387"/>
      <c r="AD53" s="407"/>
      <c r="AE53" s="375"/>
      <c r="AF53" s="401">
        <f>AF52</f>
        <v>0.7</v>
      </c>
      <c r="AG53" s="375">
        <v>0.0001</v>
      </c>
      <c r="AH53" s="425">
        <v>4E-06</v>
      </c>
    </row>
    <row r="54" spans="1:34" s="377" customFormat="1" ht="15" customHeight="1">
      <c r="A54" s="427"/>
      <c r="B54" s="422"/>
      <c r="C54" s="427"/>
      <c r="D54" s="428"/>
      <c r="E54" s="375"/>
      <c r="F54" s="427"/>
      <c r="G54" s="423"/>
      <c r="H54" s="454"/>
      <c r="I54" s="429"/>
      <c r="J54" s="454"/>
      <c r="K54" s="459"/>
      <c r="L54" s="430"/>
      <c r="M54" s="458"/>
      <c r="N54" s="460"/>
      <c r="O54" s="407"/>
      <c r="P54" s="375"/>
      <c r="Q54" s="401"/>
      <c r="R54" s="375"/>
      <c r="S54" s="425"/>
      <c r="T54" s="380"/>
      <c r="U54" s="427"/>
      <c r="V54" s="423"/>
      <c r="W54" s="422"/>
      <c r="X54" s="429"/>
      <c r="Y54" s="422"/>
      <c r="Z54" s="459"/>
      <c r="AA54" s="458"/>
      <c r="AB54" s="458"/>
      <c r="AC54" s="387"/>
      <c r="AD54" s="407"/>
      <c r="AE54" s="375"/>
      <c r="AF54" s="401"/>
      <c r="AG54" s="375"/>
      <c r="AH54" s="425"/>
    </row>
    <row r="55" spans="1:34" s="377" customFormat="1" ht="15" customHeight="1">
      <c r="A55" s="427"/>
      <c r="B55" s="422"/>
      <c r="C55" s="427"/>
      <c r="D55" s="428"/>
      <c r="E55" s="375"/>
      <c r="F55" s="427"/>
      <c r="G55" s="423"/>
      <c r="H55" s="454"/>
      <c r="I55" s="429"/>
      <c r="J55" s="454"/>
      <c r="K55" s="459"/>
      <c r="L55" s="430"/>
      <c r="M55" s="458"/>
      <c r="N55" s="460"/>
      <c r="O55" s="407"/>
      <c r="P55" s="375"/>
      <c r="Q55" s="401"/>
      <c r="R55" s="375"/>
      <c r="S55" s="425"/>
      <c r="T55" s="380"/>
      <c r="U55" s="427"/>
      <c r="V55" s="423"/>
      <c r="W55" s="422"/>
      <c r="X55" s="429"/>
      <c r="Y55" s="422"/>
      <c r="Z55" s="459"/>
      <c r="AA55" s="458"/>
      <c r="AB55" s="458"/>
      <c r="AC55" s="387"/>
      <c r="AD55" s="407"/>
      <c r="AE55" s="375"/>
      <c r="AF55" s="401"/>
      <c r="AG55" s="375"/>
      <c r="AH55" s="425"/>
    </row>
    <row r="56" spans="1:10" ht="15" customHeight="1">
      <c r="A56" s="434" t="s">
        <v>602</v>
      </c>
      <c r="B56" s="435" t="s">
        <v>603</v>
      </c>
      <c r="C56" s="381" t="s">
        <v>536</v>
      </c>
      <c r="D56" s="434" t="s">
        <v>586</v>
      </c>
      <c r="F56" s="679" t="s">
        <v>587</v>
      </c>
      <c r="G56" s="679"/>
      <c r="H56" s="679"/>
      <c r="I56" s="679"/>
      <c r="J56" s="679"/>
    </row>
    <row r="57" spans="1:29" ht="15" customHeight="1">
      <c r="A57" s="436">
        <f>IF($J$57&gt;=F40+0.01,IF($J$57&lt;=G40,H40,""),"")</f>
      </c>
      <c r="B57" s="437">
        <f>IF($J$57&gt;=F40+0.01,IF($J$57&lt;=G40,J40,""),"")</f>
      </c>
      <c r="C57" s="438">
        <f>SUM(A57:B57)*0.5</f>
        <v>0</v>
      </c>
      <c r="D57" s="439">
        <f>IF($J$57&gt;=A40+0.01,IF($J$57&lt;=B40,C40+(($J$57-B40)*D40),""),"")</f>
      </c>
      <c r="F57" s="440" t="s">
        <v>609</v>
      </c>
      <c r="J57" s="461">
        <f>G46</f>
        <v>9000000</v>
      </c>
      <c r="M57" s="376"/>
      <c r="N57" s="374"/>
      <c r="AB57" s="376"/>
      <c r="AC57" s="374"/>
    </row>
    <row r="58" spans="1:29" ht="15" customHeight="1">
      <c r="A58" s="436">
        <f aca="true" t="shared" si="55" ref="A58:A63">IF($J$57&gt;=G40+0.01,IF($J$57&lt;=G41,H41,""),"")</f>
      </c>
      <c r="B58" s="437">
        <f aca="true" t="shared" si="56" ref="B58:B63">IF($J$57&gt;=G40+0.01,IF($J$57&lt;=G41,J41,""),"")</f>
      </c>
      <c r="C58" s="438">
        <f aca="true" t="shared" si="57" ref="C58:C63">SUM(A58:B58)*0.5</f>
        <v>0</v>
      </c>
      <c r="D58" s="439">
        <f aca="true" t="shared" si="58" ref="D58:D69">IF($J$57&gt;=B40+0.01,IF($J$57&lt;=B41,C40+(($J$57-B40)*D41),""),"")</f>
      </c>
      <c r="G58" s="441" t="s">
        <v>550</v>
      </c>
      <c r="H58" s="670" t="s">
        <v>611</v>
      </c>
      <c r="I58" s="670"/>
      <c r="J58" s="670"/>
      <c r="M58" s="376"/>
      <c r="N58" s="374"/>
      <c r="AB58" s="376"/>
      <c r="AC58" s="374"/>
    </row>
    <row r="59" spans="1:29" ht="15" customHeight="1">
      <c r="A59" s="436">
        <f t="shared" si="55"/>
      </c>
      <c r="B59" s="437">
        <f t="shared" si="56"/>
      </c>
      <c r="C59" s="438">
        <f t="shared" si="57"/>
        <v>0</v>
      </c>
      <c r="D59" s="439">
        <f t="shared" si="58"/>
      </c>
      <c r="F59" s="442"/>
      <c r="G59" s="441" t="s">
        <v>610</v>
      </c>
      <c r="H59" s="442" t="s">
        <v>604</v>
      </c>
      <c r="I59" s="442" t="s">
        <v>582</v>
      </c>
      <c r="J59" s="434"/>
      <c r="M59" s="376"/>
      <c r="N59" s="374"/>
      <c r="AB59" s="376"/>
      <c r="AC59" s="374"/>
    </row>
    <row r="60" spans="1:29" ht="15" customHeight="1">
      <c r="A60" s="436">
        <f t="shared" si="55"/>
      </c>
      <c r="B60" s="437">
        <f t="shared" si="56"/>
      </c>
      <c r="C60" s="438">
        <f t="shared" si="57"/>
        <v>0</v>
      </c>
      <c r="D60" s="439">
        <f t="shared" si="58"/>
      </c>
      <c r="F60" s="440" t="s">
        <v>607</v>
      </c>
      <c r="M60" s="376"/>
      <c r="N60" s="374"/>
      <c r="AB60" s="376"/>
      <c r="AC60" s="374"/>
    </row>
    <row r="61" spans="1:29" ht="15" customHeight="1">
      <c r="A61" s="436">
        <f t="shared" si="55"/>
      </c>
      <c r="B61" s="437">
        <f t="shared" si="56"/>
      </c>
      <c r="C61" s="438">
        <f t="shared" si="57"/>
        <v>0</v>
      </c>
      <c r="D61" s="439">
        <f t="shared" si="58"/>
      </c>
      <c r="F61" s="440" t="s">
        <v>545</v>
      </c>
      <c r="G61" s="440">
        <f>SUM(A57:A63)</f>
        <v>59000</v>
      </c>
      <c r="H61" s="440">
        <f>G61*1.2</f>
        <v>70800</v>
      </c>
      <c r="I61" s="440">
        <f>G61*0.9*2</f>
        <v>106200</v>
      </c>
      <c r="J61" s="443">
        <f>SUM(H61:I61)</f>
        <v>177000</v>
      </c>
      <c r="M61" s="376"/>
      <c r="N61" s="374"/>
      <c r="AB61" s="376"/>
      <c r="AC61" s="374"/>
    </row>
    <row r="62" spans="1:4" ht="15" customHeight="1">
      <c r="A62" s="436">
        <f t="shared" si="55"/>
      </c>
      <c r="B62" s="437">
        <f t="shared" si="56"/>
      </c>
      <c r="C62" s="438">
        <f t="shared" si="57"/>
        <v>0</v>
      </c>
      <c r="D62" s="439">
        <f t="shared" si="58"/>
      </c>
    </row>
    <row r="63" spans="1:10" ht="15" customHeight="1">
      <c r="A63" s="436">
        <f t="shared" si="55"/>
        <v>59000</v>
      </c>
      <c r="B63" s="437">
        <f t="shared" si="56"/>
        <v>197650</v>
      </c>
      <c r="C63" s="438">
        <f t="shared" si="57"/>
        <v>128325</v>
      </c>
      <c r="D63" s="439">
        <f t="shared" si="58"/>
        <v>4383</v>
      </c>
      <c r="F63" s="440" t="s">
        <v>608</v>
      </c>
      <c r="G63" s="444"/>
      <c r="H63" s="444"/>
      <c r="I63" s="444"/>
      <c r="J63" s="445"/>
    </row>
    <row r="64" spans="1:10" ht="15" customHeight="1">
      <c r="A64" s="446">
        <f aca="true" t="shared" si="59" ref="A64:A69">IF($J$57&gt;=G46+0.01,IF($J$57&lt;=G47,H46+(($J$57-G46)*I47),""),"")</f>
      </c>
      <c r="B64" s="447">
        <f aca="true" t="shared" si="60" ref="B64:B69">IF($J$57&gt;=G46+0.01,IF($J$57&lt;=G47,J46+(($J$57-G46)*K47),""),"")</f>
      </c>
      <c r="C64" s="448">
        <f>SUM(A64:B64)*0.5</f>
        <v>0</v>
      </c>
      <c r="D64" s="447">
        <f t="shared" si="58"/>
      </c>
      <c r="F64" s="434" t="s">
        <v>545</v>
      </c>
      <c r="G64" s="543">
        <f>SUM(A64:A70)</f>
        <v>0</v>
      </c>
      <c r="H64" s="543">
        <f>G64*1.2</f>
        <v>0</v>
      </c>
      <c r="I64" s="543">
        <f>G64*0.9*2</f>
        <v>0</v>
      </c>
      <c r="J64" s="542">
        <f>H64+I64</f>
        <v>0</v>
      </c>
    </row>
    <row r="65" spans="1:10" ht="15" customHeight="1">
      <c r="A65" s="446">
        <f t="shared" si="59"/>
      </c>
      <c r="B65" s="447">
        <f t="shared" si="60"/>
      </c>
      <c r="C65" s="448">
        <f aca="true" t="shared" si="61" ref="C65:C70">SUM(A65:B65)*0.5</f>
        <v>0</v>
      </c>
      <c r="D65" s="447">
        <f t="shared" si="58"/>
      </c>
      <c r="F65" s="434" t="s">
        <v>536</v>
      </c>
      <c r="G65" s="543">
        <f>SUM(C64:C70)</f>
        <v>0</v>
      </c>
      <c r="H65" s="543">
        <f>G65*1.2</f>
        <v>0</v>
      </c>
      <c r="I65" s="543">
        <f>G65*0.9*2</f>
        <v>0</v>
      </c>
      <c r="J65" s="542">
        <f>H65+I65</f>
        <v>0</v>
      </c>
    </row>
    <row r="66" spans="1:10" ht="15" customHeight="1">
      <c r="A66" s="446">
        <f t="shared" si="59"/>
      </c>
      <c r="B66" s="447">
        <f t="shared" si="60"/>
      </c>
      <c r="C66" s="448">
        <f t="shared" si="61"/>
        <v>0</v>
      </c>
      <c r="D66" s="447">
        <f t="shared" si="58"/>
      </c>
      <c r="F66" s="434" t="s">
        <v>539</v>
      </c>
      <c r="G66" s="543">
        <f>SUM(B64:B70)</f>
        <v>0</v>
      </c>
      <c r="H66" s="543">
        <f>G66*1.2</f>
        <v>0</v>
      </c>
      <c r="I66" s="543">
        <f>G66*0.9*2</f>
        <v>0</v>
      </c>
      <c r="J66" s="542">
        <f>H66+I66</f>
        <v>0</v>
      </c>
    </row>
    <row r="67" spans="1:10" ht="15" customHeight="1">
      <c r="A67" s="446">
        <f t="shared" si="59"/>
      </c>
      <c r="B67" s="447">
        <f t="shared" si="60"/>
      </c>
      <c r="C67" s="448">
        <f t="shared" si="61"/>
        <v>0</v>
      </c>
      <c r="D67" s="447">
        <f t="shared" si="58"/>
      </c>
      <c r="J67" s="449"/>
    </row>
    <row r="68" spans="1:10" ht="15" customHeight="1">
      <c r="A68" s="446">
        <f t="shared" si="59"/>
      </c>
      <c r="B68" s="447">
        <f t="shared" si="60"/>
      </c>
      <c r="C68" s="448">
        <f t="shared" si="61"/>
        <v>0</v>
      </c>
      <c r="D68" s="447">
        <f t="shared" si="58"/>
      </c>
      <c r="F68" s="434" t="s">
        <v>586</v>
      </c>
      <c r="G68" s="381">
        <v>24</v>
      </c>
      <c r="H68" s="381" t="s">
        <v>606</v>
      </c>
      <c r="I68" s="381"/>
      <c r="J68" s="440">
        <f>SUM(D57:D70)*G68</f>
        <v>105192</v>
      </c>
    </row>
    <row r="69" spans="1:10" ht="15" customHeight="1">
      <c r="A69" s="446">
        <f t="shared" si="59"/>
      </c>
      <c r="B69" s="447">
        <f t="shared" si="60"/>
      </c>
      <c r="C69" s="448">
        <f t="shared" si="61"/>
        <v>0</v>
      </c>
      <c r="D69" s="447">
        <f t="shared" si="58"/>
      </c>
      <c r="J69" s="449"/>
    </row>
    <row r="70" spans="1:34" s="377" customFormat="1" ht="15" customHeight="1">
      <c r="A70" s="446">
        <f>IF($J$57&gt;=G52+0.01,H52+(($J$57-G52)*I53),"")</f>
      </c>
      <c r="B70" s="447">
        <f>IF($J$57&gt;=G52+0.01,J52+(($J$57-G52)*K53),"")</f>
      </c>
      <c r="C70" s="448">
        <f t="shared" si="61"/>
        <v>0</v>
      </c>
      <c r="D70" s="447">
        <f>IF($J$57&gt;=B52+0.01,C52+(($J$57-B52)*D53),"")</f>
      </c>
      <c r="E70" s="462"/>
      <c r="F70" s="427"/>
      <c r="G70" s="463"/>
      <c r="H70" s="454"/>
      <c r="I70" s="429"/>
      <c r="J70" s="454"/>
      <c r="K70" s="459"/>
      <c r="L70" s="430"/>
      <c r="M70" s="458"/>
      <c r="N70" s="460"/>
      <c r="O70" s="407"/>
      <c r="P70" s="462"/>
      <c r="Q70" s="401"/>
      <c r="R70" s="462"/>
      <c r="S70" s="464"/>
      <c r="T70" s="465"/>
      <c r="U70" s="427"/>
      <c r="V70" s="463"/>
      <c r="W70" s="466"/>
      <c r="X70" s="429"/>
      <c r="Y70" s="466"/>
      <c r="Z70" s="459"/>
      <c r="AA70" s="458"/>
      <c r="AB70" s="458"/>
      <c r="AC70" s="387"/>
      <c r="AD70" s="407"/>
      <c r="AE70" s="462"/>
      <c r="AF70" s="401"/>
      <c r="AG70" s="462"/>
      <c r="AH70" s="464"/>
    </row>
    <row r="71" spans="5:30" s="377" customFormat="1" ht="15" customHeight="1">
      <c r="E71" s="375"/>
      <c r="L71" s="407"/>
      <c r="M71" s="407"/>
      <c r="N71" s="387"/>
      <c r="O71" s="467"/>
      <c r="AA71" s="407"/>
      <c r="AB71" s="407"/>
      <c r="AC71" s="387"/>
      <c r="AD71" s="467"/>
    </row>
    <row r="72" spans="1:34" s="377" customFormat="1" ht="15" customHeight="1">
      <c r="A72"/>
      <c r="B72"/>
      <c r="C72"/>
      <c r="D72"/>
      <c r="E72" s="375"/>
      <c r="F72" s="374"/>
      <c r="G72" s="378" t="s">
        <v>598</v>
      </c>
      <c r="H72" s="378">
        <v>1.25</v>
      </c>
      <c r="I72" s="378"/>
      <c r="J72" s="378"/>
      <c r="K72" s="378"/>
      <c r="L72" s="378"/>
      <c r="M72" s="452"/>
      <c r="N72" s="387"/>
      <c r="O72" s="452"/>
      <c r="P72" s="453"/>
      <c r="Q72" s="378"/>
      <c r="R72" s="378"/>
      <c r="S72" s="378"/>
      <c r="T72" s="380"/>
      <c r="U72" s="374"/>
      <c r="V72" s="378" t="s">
        <v>598</v>
      </c>
      <c r="W72" s="378">
        <v>1.25</v>
      </c>
      <c r="X72" s="378"/>
      <c r="Y72" s="378"/>
      <c r="Z72" s="378"/>
      <c r="AA72" s="378"/>
      <c r="AB72" s="452"/>
      <c r="AC72" s="387"/>
      <c r="AD72" s="452"/>
      <c r="AE72" s="453"/>
      <c r="AF72" s="378"/>
      <c r="AG72" s="378"/>
      <c r="AH72" s="378"/>
    </row>
    <row r="73" spans="1:32" s="377" customFormat="1" ht="15" customHeight="1">
      <c r="A73" s="381" t="s">
        <v>559</v>
      </c>
      <c r="B73" s="381"/>
      <c r="C73" s="382" t="s">
        <v>543</v>
      </c>
      <c r="D73" s="382"/>
      <c r="E73" s="375"/>
      <c r="F73" s="383" t="s">
        <v>540</v>
      </c>
      <c r="G73" s="384"/>
      <c r="H73" s="383" t="s">
        <v>538</v>
      </c>
      <c r="I73" s="384"/>
      <c r="J73" s="383" t="s">
        <v>539</v>
      </c>
      <c r="K73" s="384"/>
      <c r="L73" s="381" t="s">
        <v>536</v>
      </c>
      <c r="M73" s="385" t="s">
        <v>601</v>
      </c>
      <c r="N73" s="385" t="s">
        <v>546</v>
      </c>
      <c r="P73" s="388" t="s">
        <v>536</v>
      </c>
      <c r="Q73" s="388">
        <v>0.75</v>
      </c>
      <c r="T73" s="380"/>
      <c r="U73" s="383" t="s">
        <v>540</v>
      </c>
      <c r="V73" s="384"/>
      <c r="W73" s="383" t="s">
        <v>538</v>
      </c>
      <c r="X73" s="384"/>
      <c r="Y73" s="383" t="s">
        <v>539</v>
      </c>
      <c r="Z73" s="384"/>
      <c r="AA73" s="387" t="s">
        <v>538</v>
      </c>
      <c r="AB73" s="387" t="s">
        <v>539</v>
      </c>
      <c r="AC73" s="387" t="s">
        <v>601</v>
      </c>
      <c r="AD73" s="387" t="s">
        <v>546</v>
      </c>
      <c r="AE73" s="388" t="s">
        <v>536</v>
      </c>
      <c r="AF73" s="388">
        <v>1.25</v>
      </c>
    </row>
    <row r="74" spans="1:34" s="377" customFormat="1" ht="15" customHeight="1">
      <c r="A74" s="389">
        <v>1</v>
      </c>
      <c r="B74" s="390">
        <f>50000*1.8</f>
        <v>90000</v>
      </c>
      <c r="C74" s="391">
        <f>B74*D74</f>
        <v>2250</v>
      </c>
      <c r="D74" s="392">
        <v>0.025</v>
      </c>
      <c r="E74" s="375"/>
      <c r="F74" s="389">
        <v>1</v>
      </c>
      <c r="G74" s="390">
        <f>50000*1.8</f>
        <v>90000</v>
      </c>
      <c r="H74" s="393">
        <f aca="true" t="shared" si="62" ref="H74:H80">M74*100</f>
        <v>45000</v>
      </c>
      <c r="I74" s="394">
        <f>R74*Q74</f>
        <v>0.045</v>
      </c>
      <c r="J74" s="395">
        <f aca="true" t="shared" si="63" ref="J74:J80">M74*N74</f>
        <v>114750</v>
      </c>
      <c r="K74" s="396">
        <f>S74*Q74</f>
        <v>0.13515</v>
      </c>
      <c r="L74" s="397">
        <f>(H74+J74)/2</f>
        <v>79875</v>
      </c>
      <c r="M74" s="398">
        <f aca="true" t="shared" si="64" ref="M74:M80">M40</f>
        <v>450</v>
      </c>
      <c r="N74" s="398">
        <v>255</v>
      </c>
      <c r="P74" s="401"/>
      <c r="Q74" s="401">
        <f>Q73</f>
        <v>0.75</v>
      </c>
      <c r="R74" s="402">
        <f>6%</f>
        <v>0.06</v>
      </c>
      <c r="S74" s="403">
        <f>18.02%</f>
        <v>0.1802</v>
      </c>
      <c r="T74" s="380"/>
      <c r="U74" s="404"/>
      <c r="V74" s="390">
        <f>50000</f>
        <v>50000</v>
      </c>
      <c r="W74" s="405">
        <f>AA74</f>
        <v>45000</v>
      </c>
      <c r="X74" s="402">
        <f>AG74/AF74</f>
        <v>0.048</v>
      </c>
      <c r="Y74" s="406">
        <f>AB74</f>
        <v>114750</v>
      </c>
      <c r="Z74" s="403">
        <f>AH74/AF74</f>
        <v>0.14416</v>
      </c>
      <c r="AA74" s="393">
        <f aca="true" t="shared" si="65" ref="AA74:AA80">AC74*100</f>
        <v>45000</v>
      </c>
      <c r="AB74" s="393">
        <f aca="true" t="shared" si="66" ref="AB74:AB80">AC74*AD74</f>
        <v>114750</v>
      </c>
      <c r="AC74" s="408">
        <f>AC40</f>
        <v>450</v>
      </c>
      <c r="AD74" s="408">
        <v>255</v>
      </c>
      <c r="AE74" s="401">
        <f>(AA74+AB74)*0.5</f>
        <v>79875</v>
      </c>
      <c r="AF74" s="401">
        <f>AF73</f>
        <v>1.25</v>
      </c>
      <c r="AG74" s="402">
        <f>6%</f>
        <v>0.06</v>
      </c>
      <c r="AH74" s="403">
        <f>18.02%</f>
        <v>0.1802</v>
      </c>
    </row>
    <row r="75" spans="1:34" s="377" customFormat="1" ht="15" customHeight="1">
      <c r="A75" s="389">
        <f>B74+1</f>
        <v>90001</v>
      </c>
      <c r="B75" s="390">
        <f>100000*1.8</f>
        <v>180000</v>
      </c>
      <c r="C75" s="391">
        <f>C74+(B75-B74)*D75</f>
        <v>2700</v>
      </c>
      <c r="D75" s="392">
        <v>0.005</v>
      </c>
      <c r="E75" s="375"/>
      <c r="F75" s="389">
        <f>G74+1</f>
        <v>90001</v>
      </c>
      <c r="G75" s="390">
        <f>100000*1.8</f>
        <v>180000</v>
      </c>
      <c r="H75" s="393">
        <f t="shared" si="62"/>
        <v>45500</v>
      </c>
      <c r="I75" s="394">
        <f aca="true" t="shared" si="67" ref="I75:I87">R75*Q75</f>
        <v>0.019875</v>
      </c>
      <c r="J75" s="395">
        <f t="shared" si="63"/>
        <v>116025</v>
      </c>
      <c r="K75" s="396">
        <f aca="true" t="shared" si="68" ref="K75:K87">S75*Q75</f>
        <v>0.10175999999999999</v>
      </c>
      <c r="L75" s="397">
        <f aca="true" t="shared" si="69" ref="L75:L87">(H75+J75)/2</f>
        <v>80762.5</v>
      </c>
      <c r="M75" s="398">
        <f t="shared" si="64"/>
        <v>455</v>
      </c>
      <c r="N75" s="398">
        <v>255</v>
      </c>
      <c r="P75" s="401">
        <f aca="true" t="shared" si="70" ref="P75:P86">(H75+J75)*0.5</f>
        <v>80762.5</v>
      </c>
      <c r="Q75" s="401">
        <f aca="true" t="shared" si="71" ref="Q75:Q87">Q74</f>
        <v>0.75</v>
      </c>
      <c r="R75" s="410">
        <v>0.0265</v>
      </c>
      <c r="S75" s="403">
        <v>0.13568</v>
      </c>
      <c r="T75" s="380"/>
      <c r="U75" s="390">
        <f>V74+1</f>
        <v>50001</v>
      </c>
      <c r="V75" s="390">
        <f>100000</f>
        <v>100000</v>
      </c>
      <c r="W75" s="405">
        <f>AA74</f>
        <v>45000</v>
      </c>
      <c r="X75" s="402">
        <f aca="true" t="shared" si="72" ref="X75:X87">AG75/AF75</f>
        <v>0.0212</v>
      </c>
      <c r="Y75" s="411">
        <f>AB74</f>
        <v>114750</v>
      </c>
      <c r="Z75" s="403">
        <f aca="true" t="shared" si="73" ref="Z75:Z87">AH75/AF75</f>
        <v>0.108544</v>
      </c>
      <c r="AA75" s="393">
        <f t="shared" si="65"/>
        <v>45500</v>
      </c>
      <c r="AB75" s="393">
        <f t="shared" si="66"/>
        <v>116025</v>
      </c>
      <c r="AC75" s="408">
        <f aca="true" t="shared" si="74" ref="AC75:AC80">AC41</f>
        <v>455</v>
      </c>
      <c r="AD75" s="408">
        <v>255</v>
      </c>
      <c r="AE75" s="401">
        <f aca="true" t="shared" si="75" ref="AE75:AE86">(AA75+AB75)*0.5</f>
        <v>80762.5</v>
      </c>
      <c r="AF75" s="401">
        <f aca="true" t="shared" si="76" ref="AF75:AF87">AF74</f>
        <v>1.25</v>
      </c>
      <c r="AG75" s="410">
        <v>0.0265</v>
      </c>
      <c r="AH75" s="403">
        <v>0.13568</v>
      </c>
    </row>
    <row r="76" spans="1:34" s="377" customFormat="1" ht="15" customHeight="1">
      <c r="A76" s="390">
        <f aca="true" t="shared" si="77" ref="A76:A87">B75+1</f>
        <v>180001</v>
      </c>
      <c r="B76" s="390">
        <f>200000*1.8</f>
        <v>360000</v>
      </c>
      <c r="C76" s="391">
        <f>C75+(B76-B75)*D76</f>
        <v>2970</v>
      </c>
      <c r="D76" s="413">
        <v>0.0015</v>
      </c>
      <c r="E76" s="375"/>
      <c r="F76" s="389">
        <f aca="true" t="shared" si="78" ref="F76:F87">G75+1</f>
        <v>180001</v>
      </c>
      <c r="G76" s="390">
        <f>200000*1.8</f>
        <v>360000</v>
      </c>
      <c r="H76" s="393">
        <f t="shared" si="62"/>
        <v>47500</v>
      </c>
      <c r="I76" s="394">
        <f t="shared" si="67"/>
        <v>0.010732499999999999</v>
      </c>
      <c r="J76" s="395">
        <f t="shared" si="63"/>
        <v>121125</v>
      </c>
      <c r="K76" s="396">
        <f t="shared" si="68"/>
        <v>0.0576375</v>
      </c>
      <c r="L76" s="397">
        <f t="shared" si="69"/>
        <v>84312.5</v>
      </c>
      <c r="M76" s="398">
        <f t="shared" si="64"/>
        <v>475</v>
      </c>
      <c r="N76" s="398">
        <v>255</v>
      </c>
      <c r="P76" s="401">
        <f t="shared" si="70"/>
        <v>84312.5</v>
      </c>
      <c r="Q76" s="401">
        <f t="shared" si="71"/>
        <v>0.75</v>
      </c>
      <c r="R76" s="410">
        <v>0.01431</v>
      </c>
      <c r="S76" s="403">
        <v>0.07685</v>
      </c>
      <c r="T76" s="380"/>
      <c r="U76" s="390">
        <f aca="true" t="shared" si="79" ref="U76:U87">V75+1</f>
        <v>100001</v>
      </c>
      <c r="V76" s="390">
        <f>200000</f>
        <v>200000</v>
      </c>
      <c r="W76" s="405">
        <f aca="true" t="shared" si="80" ref="W76:W86">AA75</f>
        <v>45500</v>
      </c>
      <c r="X76" s="402">
        <f t="shared" si="72"/>
        <v>0.011448</v>
      </c>
      <c r="Y76" s="411">
        <f>AB75</f>
        <v>116025</v>
      </c>
      <c r="Z76" s="403">
        <f t="shared" si="73"/>
        <v>0.06148</v>
      </c>
      <c r="AA76" s="393">
        <f t="shared" si="65"/>
        <v>47500</v>
      </c>
      <c r="AB76" s="393">
        <f t="shared" si="66"/>
        <v>121125</v>
      </c>
      <c r="AC76" s="408">
        <f t="shared" si="74"/>
        <v>475</v>
      </c>
      <c r="AD76" s="408">
        <v>255</v>
      </c>
      <c r="AE76" s="401">
        <f t="shared" si="75"/>
        <v>84312.5</v>
      </c>
      <c r="AF76" s="401">
        <f t="shared" si="76"/>
        <v>1.25</v>
      </c>
      <c r="AG76" s="410">
        <v>0.01431</v>
      </c>
      <c r="AH76" s="403">
        <v>0.07685</v>
      </c>
    </row>
    <row r="77" spans="1:34" s="377" customFormat="1" ht="15" customHeight="1">
      <c r="A77" s="390">
        <f t="shared" si="77"/>
        <v>360001</v>
      </c>
      <c r="B77" s="390">
        <f>500000*1.8</f>
        <v>900000</v>
      </c>
      <c r="C77" s="391">
        <f aca="true" t="shared" si="81" ref="C77:C86">C76+(B77-B76)*D77</f>
        <v>3510</v>
      </c>
      <c r="D77" s="413">
        <v>0.001</v>
      </c>
      <c r="E77" s="375"/>
      <c r="F77" s="389">
        <f t="shared" si="78"/>
        <v>360001</v>
      </c>
      <c r="G77" s="390">
        <f>500000*1.8</f>
        <v>900000</v>
      </c>
      <c r="H77" s="393">
        <f t="shared" si="62"/>
        <v>50200</v>
      </c>
      <c r="I77" s="394">
        <f t="shared" si="67"/>
        <v>0.0102525</v>
      </c>
      <c r="J77" s="395">
        <f t="shared" si="63"/>
        <v>128010</v>
      </c>
      <c r="K77" s="396">
        <f t="shared" si="68"/>
        <v>0.051277500000000004</v>
      </c>
      <c r="L77" s="397">
        <f t="shared" si="69"/>
        <v>89105</v>
      </c>
      <c r="M77" s="398">
        <f t="shared" si="64"/>
        <v>502</v>
      </c>
      <c r="N77" s="398">
        <v>255</v>
      </c>
      <c r="P77" s="401">
        <f t="shared" si="70"/>
        <v>89105</v>
      </c>
      <c r="Q77" s="401">
        <f t="shared" si="71"/>
        <v>0.75</v>
      </c>
      <c r="R77" s="410">
        <v>0.01367</v>
      </c>
      <c r="S77" s="403">
        <v>0.06837</v>
      </c>
      <c r="T77" s="380"/>
      <c r="U77" s="390">
        <f t="shared" si="79"/>
        <v>200001</v>
      </c>
      <c r="V77" s="390">
        <f>500000</f>
        <v>500000</v>
      </c>
      <c r="W77" s="405">
        <f t="shared" si="80"/>
        <v>47500</v>
      </c>
      <c r="X77" s="402">
        <f t="shared" si="72"/>
        <v>0.010936</v>
      </c>
      <c r="Y77" s="411">
        <f aca="true" t="shared" si="82" ref="Y77:Y86">AB76</f>
        <v>121125</v>
      </c>
      <c r="Z77" s="403">
        <f t="shared" si="73"/>
        <v>0.054696</v>
      </c>
      <c r="AA77" s="393">
        <f t="shared" si="65"/>
        <v>50200</v>
      </c>
      <c r="AB77" s="393">
        <f t="shared" si="66"/>
        <v>128010</v>
      </c>
      <c r="AC77" s="408">
        <f t="shared" si="74"/>
        <v>502</v>
      </c>
      <c r="AD77" s="408">
        <v>255</v>
      </c>
      <c r="AE77" s="401">
        <f t="shared" si="75"/>
        <v>89105</v>
      </c>
      <c r="AF77" s="401">
        <f t="shared" si="76"/>
        <v>1.25</v>
      </c>
      <c r="AG77" s="410">
        <v>0.01367</v>
      </c>
      <c r="AH77" s="403">
        <v>0.06837</v>
      </c>
    </row>
    <row r="78" spans="1:34" s="377" customFormat="1" ht="15" customHeight="1">
      <c r="A78" s="390">
        <f t="shared" si="77"/>
        <v>900001</v>
      </c>
      <c r="B78" s="390">
        <f>1000000*1.8</f>
        <v>1800000</v>
      </c>
      <c r="C78" s="391">
        <f t="shared" si="81"/>
        <v>3645</v>
      </c>
      <c r="D78" s="413">
        <v>0.00015</v>
      </c>
      <c r="E78" s="375"/>
      <c r="F78" s="389">
        <f t="shared" si="78"/>
        <v>900001</v>
      </c>
      <c r="G78" s="390">
        <f>1000000*1.8</f>
        <v>1800000</v>
      </c>
      <c r="H78" s="393">
        <f t="shared" si="62"/>
        <v>52900</v>
      </c>
      <c r="I78" s="394">
        <f t="shared" si="67"/>
        <v>0.007155</v>
      </c>
      <c r="J78" s="395">
        <f t="shared" si="63"/>
        <v>134895</v>
      </c>
      <c r="K78" s="396">
        <f t="shared" si="68"/>
        <v>0.03021</v>
      </c>
      <c r="L78" s="397">
        <f t="shared" si="69"/>
        <v>93897.5</v>
      </c>
      <c r="M78" s="398">
        <f t="shared" si="64"/>
        <v>529</v>
      </c>
      <c r="N78" s="398">
        <v>255</v>
      </c>
      <c r="P78" s="401">
        <f t="shared" si="70"/>
        <v>93897.5</v>
      </c>
      <c r="Q78" s="401">
        <f t="shared" si="71"/>
        <v>0.75</v>
      </c>
      <c r="R78" s="410">
        <v>0.00954</v>
      </c>
      <c r="S78" s="403">
        <v>0.04028</v>
      </c>
      <c r="T78" s="380"/>
      <c r="U78" s="390">
        <f t="shared" si="79"/>
        <v>500001</v>
      </c>
      <c r="V78" s="390">
        <f>1000000</f>
        <v>1000000</v>
      </c>
      <c r="W78" s="405">
        <f t="shared" si="80"/>
        <v>50200</v>
      </c>
      <c r="X78" s="402">
        <f t="shared" si="72"/>
        <v>0.007632</v>
      </c>
      <c r="Y78" s="411">
        <f t="shared" si="82"/>
        <v>128010</v>
      </c>
      <c r="Z78" s="403">
        <f t="shared" si="73"/>
        <v>0.032224</v>
      </c>
      <c r="AA78" s="393">
        <f t="shared" si="65"/>
        <v>52900</v>
      </c>
      <c r="AB78" s="393">
        <f t="shared" si="66"/>
        <v>134895</v>
      </c>
      <c r="AC78" s="408">
        <f t="shared" si="74"/>
        <v>529</v>
      </c>
      <c r="AD78" s="408">
        <v>255</v>
      </c>
      <c r="AE78" s="401">
        <f t="shared" si="75"/>
        <v>93897.5</v>
      </c>
      <c r="AF78" s="401">
        <f t="shared" si="76"/>
        <v>1.25</v>
      </c>
      <c r="AG78" s="410">
        <v>0.00954</v>
      </c>
      <c r="AH78" s="403">
        <v>0.04028</v>
      </c>
    </row>
    <row r="79" spans="1:34" s="377" customFormat="1" ht="15" customHeight="1">
      <c r="A79" s="390">
        <f t="shared" si="77"/>
        <v>1800001</v>
      </c>
      <c r="B79" s="390">
        <f>2000000*1.8</f>
        <v>3600000</v>
      </c>
      <c r="C79" s="391">
        <f t="shared" si="81"/>
        <v>3897</v>
      </c>
      <c r="D79" s="413">
        <v>0.00014</v>
      </c>
      <c r="E79" s="375"/>
      <c r="F79" s="389">
        <f t="shared" si="78"/>
        <v>1800001</v>
      </c>
      <c r="G79" s="390">
        <f>2000000*1.8</f>
        <v>3600000</v>
      </c>
      <c r="H79" s="393">
        <f t="shared" si="62"/>
        <v>55800</v>
      </c>
      <c r="I79" s="394">
        <f t="shared" si="67"/>
        <v>0.0051675</v>
      </c>
      <c r="J79" s="395">
        <f t="shared" si="63"/>
        <v>164610</v>
      </c>
      <c r="K79" s="396">
        <f t="shared" si="68"/>
        <v>0.027030000000000002</v>
      </c>
      <c r="L79" s="397">
        <f t="shared" si="69"/>
        <v>110205</v>
      </c>
      <c r="M79" s="398">
        <f t="shared" si="64"/>
        <v>558</v>
      </c>
      <c r="N79" s="398">
        <v>295</v>
      </c>
      <c r="P79" s="401">
        <f t="shared" si="70"/>
        <v>110205</v>
      </c>
      <c r="Q79" s="401">
        <f t="shared" si="71"/>
        <v>0.75</v>
      </c>
      <c r="R79" s="410">
        <v>0.00689</v>
      </c>
      <c r="S79" s="403">
        <v>0.03604</v>
      </c>
      <c r="T79" s="380"/>
      <c r="U79" s="390">
        <f t="shared" si="79"/>
        <v>1000001</v>
      </c>
      <c r="V79" s="390">
        <f>2000000</f>
        <v>2000000</v>
      </c>
      <c r="W79" s="405">
        <f t="shared" si="80"/>
        <v>52900</v>
      </c>
      <c r="X79" s="402">
        <f t="shared" si="72"/>
        <v>0.005512</v>
      </c>
      <c r="Y79" s="411">
        <f t="shared" si="82"/>
        <v>134895</v>
      </c>
      <c r="Z79" s="403">
        <f t="shared" si="73"/>
        <v>0.028832000000000003</v>
      </c>
      <c r="AA79" s="393">
        <f t="shared" si="65"/>
        <v>55800</v>
      </c>
      <c r="AB79" s="393">
        <f t="shared" si="66"/>
        <v>164610</v>
      </c>
      <c r="AC79" s="408">
        <f t="shared" si="74"/>
        <v>558</v>
      </c>
      <c r="AD79" s="408">
        <v>295</v>
      </c>
      <c r="AE79" s="401">
        <f t="shared" si="75"/>
        <v>110205</v>
      </c>
      <c r="AF79" s="401">
        <f t="shared" si="76"/>
        <v>1.25</v>
      </c>
      <c r="AG79" s="410">
        <v>0.00689</v>
      </c>
      <c r="AH79" s="403">
        <v>0.03604</v>
      </c>
    </row>
    <row r="80" spans="1:34" s="377" customFormat="1" ht="15" customHeight="1">
      <c r="A80" s="390">
        <f t="shared" si="77"/>
        <v>3600001</v>
      </c>
      <c r="B80" s="390">
        <f>5000000*1.8</f>
        <v>9000000</v>
      </c>
      <c r="C80" s="391">
        <f t="shared" si="81"/>
        <v>4383</v>
      </c>
      <c r="D80" s="413">
        <v>9E-05</v>
      </c>
      <c r="E80" s="375"/>
      <c r="F80" s="389">
        <f t="shared" si="78"/>
        <v>3600001</v>
      </c>
      <c r="G80" s="390">
        <f>5000000*1.8</f>
        <v>9000000</v>
      </c>
      <c r="H80" s="393">
        <f t="shared" si="62"/>
        <v>59000</v>
      </c>
      <c r="I80" s="394">
        <f t="shared" si="67"/>
        <v>0.0028125</v>
      </c>
      <c r="J80" s="395">
        <f t="shared" si="63"/>
        <v>204140</v>
      </c>
      <c r="K80" s="396">
        <f t="shared" si="68"/>
        <v>0.0104325</v>
      </c>
      <c r="L80" s="397">
        <f t="shared" si="69"/>
        <v>131570</v>
      </c>
      <c r="M80" s="398">
        <f t="shared" si="64"/>
        <v>590</v>
      </c>
      <c r="N80" s="398">
        <v>346</v>
      </c>
      <c r="P80" s="401">
        <f t="shared" si="70"/>
        <v>131570</v>
      </c>
      <c r="Q80" s="401">
        <f t="shared" si="71"/>
        <v>0.75</v>
      </c>
      <c r="R80" s="410">
        <v>0.00375</v>
      </c>
      <c r="S80" s="403">
        <v>0.01391</v>
      </c>
      <c r="T80" s="380"/>
      <c r="U80" s="390">
        <f t="shared" si="79"/>
        <v>2000001</v>
      </c>
      <c r="V80" s="390">
        <f>5000000</f>
        <v>5000000</v>
      </c>
      <c r="W80" s="405">
        <f t="shared" si="80"/>
        <v>55800</v>
      </c>
      <c r="X80" s="402">
        <f t="shared" si="72"/>
        <v>0.003</v>
      </c>
      <c r="Y80" s="411">
        <f t="shared" si="82"/>
        <v>164610</v>
      </c>
      <c r="Z80" s="403">
        <f t="shared" si="73"/>
        <v>0.011128</v>
      </c>
      <c r="AA80" s="393">
        <f t="shared" si="65"/>
        <v>59000</v>
      </c>
      <c r="AB80" s="393">
        <f t="shared" si="66"/>
        <v>204140</v>
      </c>
      <c r="AC80" s="408">
        <f t="shared" si="74"/>
        <v>590</v>
      </c>
      <c r="AD80" s="408">
        <v>346</v>
      </c>
      <c r="AE80" s="401">
        <f t="shared" si="75"/>
        <v>131570</v>
      </c>
      <c r="AF80" s="401">
        <f t="shared" si="76"/>
        <v>1.25</v>
      </c>
      <c r="AG80" s="410">
        <v>0.00375</v>
      </c>
      <c r="AH80" s="403">
        <v>0.01391</v>
      </c>
    </row>
    <row r="81" spans="1:34" s="377" customFormat="1" ht="15" customHeight="1">
      <c r="A81" s="390">
        <f t="shared" si="77"/>
        <v>9000001</v>
      </c>
      <c r="B81" s="414">
        <f>10000000*1.8</f>
        <v>18000000</v>
      </c>
      <c r="C81" s="391">
        <f t="shared" si="81"/>
        <v>5103</v>
      </c>
      <c r="D81" s="413">
        <v>8E-05</v>
      </c>
      <c r="E81" s="375"/>
      <c r="F81" s="389">
        <f t="shared" si="78"/>
        <v>9000001</v>
      </c>
      <c r="G81" s="414">
        <f>10000000*1.8</f>
        <v>18000000</v>
      </c>
      <c r="H81" s="421">
        <f aca="true" t="shared" si="83" ref="H81:H87">(((G81-G80)*I81)+H80)</f>
        <v>67640</v>
      </c>
      <c r="I81" s="402">
        <f t="shared" si="67"/>
        <v>0.0009600000000000001</v>
      </c>
      <c r="J81" s="421">
        <f aca="true" t="shared" si="84" ref="J81:J87">(((G81-G80)*K81)+J80)</f>
        <v>265565</v>
      </c>
      <c r="K81" s="403">
        <f t="shared" si="68"/>
        <v>0.006825</v>
      </c>
      <c r="L81" s="397">
        <f t="shared" si="69"/>
        <v>166602.5</v>
      </c>
      <c r="M81" s="456"/>
      <c r="N81" s="468"/>
      <c r="O81" s="469"/>
      <c r="P81" s="401">
        <f t="shared" si="70"/>
        <v>166602.5</v>
      </c>
      <c r="Q81" s="401">
        <f t="shared" si="71"/>
        <v>0.75</v>
      </c>
      <c r="R81" s="410">
        <v>0.00128</v>
      </c>
      <c r="S81" s="403">
        <v>0.0091</v>
      </c>
      <c r="T81" s="380"/>
      <c r="U81" s="390">
        <f t="shared" si="79"/>
        <v>5000001</v>
      </c>
      <c r="V81" s="414">
        <f>10000000</f>
        <v>10000000</v>
      </c>
      <c r="W81" s="417">
        <f t="shared" si="80"/>
        <v>59000</v>
      </c>
      <c r="X81" s="418">
        <f t="shared" si="72"/>
        <v>0.0010240000000000002</v>
      </c>
      <c r="Y81" s="419">
        <f t="shared" si="82"/>
        <v>204140</v>
      </c>
      <c r="Z81" s="420">
        <f t="shared" si="73"/>
        <v>0.00728</v>
      </c>
      <c r="AA81" s="454">
        <f aca="true" t="shared" si="85" ref="AA81:AA86">(((V81-V80)*X81)+W81)</f>
        <v>64120</v>
      </c>
      <c r="AB81" s="454">
        <f aca="true" t="shared" si="86" ref="AB81:AB86">(((V81-V80)*Z81)+Y81)</f>
        <v>240540</v>
      </c>
      <c r="AC81" s="387"/>
      <c r="AD81" s="469"/>
      <c r="AE81" s="401">
        <f t="shared" si="75"/>
        <v>152330</v>
      </c>
      <c r="AF81" s="401">
        <f t="shared" si="76"/>
        <v>1.25</v>
      </c>
      <c r="AG81" s="410">
        <v>0.00128</v>
      </c>
      <c r="AH81" s="403">
        <v>0.0091</v>
      </c>
    </row>
    <row r="82" spans="1:34" s="377" customFormat="1" ht="15" customHeight="1">
      <c r="A82" s="390">
        <f t="shared" si="77"/>
        <v>18000001</v>
      </c>
      <c r="B82" s="414">
        <f>30000000*1.8</f>
        <v>54000000</v>
      </c>
      <c r="C82" s="391">
        <f t="shared" si="81"/>
        <v>6543</v>
      </c>
      <c r="D82" s="413">
        <v>4E-05</v>
      </c>
      <c r="E82" s="375"/>
      <c r="F82" s="389">
        <f t="shared" si="78"/>
        <v>18000001</v>
      </c>
      <c r="G82" s="414">
        <f>30000000*1.8</f>
        <v>54000000</v>
      </c>
      <c r="H82" s="421">
        <f t="shared" si="83"/>
        <v>84920</v>
      </c>
      <c r="I82" s="402">
        <f t="shared" si="67"/>
        <v>0.00048000000000000007</v>
      </c>
      <c r="J82" s="421">
        <f t="shared" si="84"/>
        <v>330635</v>
      </c>
      <c r="K82" s="403">
        <f t="shared" si="68"/>
        <v>0.0018074999999999999</v>
      </c>
      <c r="L82" s="397">
        <f t="shared" si="69"/>
        <v>207777.5</v>
      </c>
      <c r="M82" s="456"/>
      <c r="N82" s="468"/>
      <c r="O82" s="469"/>
      <c r="P82" s="401">
        <f t="shared" si="70"/>
        <v>207777.5</v>
      </c>
      <c r="Q82" s="401">
        <f t="shared" si="71"/>
        <v>0.75</v>
      </c>
      <c r="R82" s="410">
        <v>0.00064</v>
      </c>
      <c r="S82" s="403">
        <v>0.00241</v>
      </c>
      <c r="T82" s="380"/>
      <c r="U82" s="390">
        <f t="shared" si="79"/>
        <v>10000001</v>
      </c>
      <c r="V82" s="414">
        <f>30000000</f>
        <v>30000000</v>
      </c>
      <c r="W82" s="417">
        <f t="shared" si="80"/>
        <v>64120</v>
      </c>
      <c r="X82" s="418">
        <f t="shared" si="72"/>
        <v>0.0005120000000000001</v>
      </c>
      <c r="Y82" s="419">
        <f t="shared" si="82"/>
        <v>240540</v>
      </c>
      <c r="Z82" s="420">
        <f t="shared" si="73"/>
        <v>0.0019279999999999998</v>
      </c>
      <c r="AA82" s="454">
        <f t="shared" si="85"/>
        <v>74360</v>
      </c>
      <c r="AB82" s="454">
        <f t="shared" si="86"/>
        <v>279100</v>
      </c>
      <c r="AC82" s="387"/>
      <c r="AD82" s="469"/>
      <c r="AE82" s="401">
        <f t="shared" si="75"/>
        <v>176730</v>
      </c>
      <c r="AF82" s="401">
        <f t="shared" si="76"/>
        <v>1.25</v>
      </c>
      <c r="AG82" s="410">
        <v>0.00064</v>
      </c>
      <c r="AH82" s="403">
        <v>0.00241</v>
      </c>
    </row>
    <row r="83" spans="1:34" s="377" customFormat="1" ht="15" customHeight="1">
      <c r="A83" s="390">
        <f t="shared" si="77"/>
        <v>54000001</v>
      </c>
      <c r="B83" s="414">
        <f>50000000*1.8</f>
        <v>90000000</v>
      </c>
      <c r="C83" s="391">
        <f t="shared" si="81"/>
        <v>7983</v>
      </c>
      <c r="D83" s="413">
        <v>4E-05</v>
      </c>
      <c r="E83" s="375"/>
      <c r="F83" s="389">
        <f t="shared" si="78"/>
        <v>54000001</v>
      </c>
      <c r="G83" s="414">
        <f>50000000*1.8</f>
        <v>90000000</v>
      </c>
      <c r="H83" s="421">
        <f t="shared" si="83"/>
        <v>100850</v>
      </c>
      <c r="I83" s="402">
        <f t="shared" si="67"/>
        <v>0.0004425</v>
      </c>
      <c r="J83" s="421">
        <f t="shared" si="84"/>
        <v>392195</v>
      </c>
      <c r="K83" s="403">
        <f t="shared" si="68"/>
        <v>0.00171</v>
      </c>
      <c r="L83" s="397">
        <f t="shared" si="69"/>
        <v>246522.5</v>
      </c>
      <c r="M83" s="456"/>
      <c r="N83" s="468"/>
      <c r="O83" s="469"/>
      <c r="P83" s="401">
        <f t="shared" si="70"/>
        <v>246522.5</v>
      </c>
      <c r="Q83" s="401">
        <f t="shared" si="71"/>
        <v>0.75</v>
      </c>
      <c r="R83" s="410">
        <v>0.00059</v>
      </c>
      <c r="S83" s="403">
        <v>0.00228</v>
      </c>
      <c r="T83" s="380"/>
      <c r="U83" s="390">
        <f t="shared" si="79"/>
        <v>30000001</v>
      </c>
      <c r="V83" s="414">
        <f>50000000</f>
        <v>50000000</v>
      </c>
      <c r="W83" s="417">
        <f t="shared" si="80"/>
        <v>74360</v>
      </c>
      <c r="X83" s="418">
        <f t="shared" si="72"/>
        <v>0.00047200000000000003</v>
      </c>
      <c r="Y83" s="419">
        <f t="shared" si="82"/>
        <v>279100</v>
      </c>
      <c r="Z83" s="420">
        <f t="shared" si="73"/>
        <v>0.0018239999999999999</v>
      </c>
      <c r="AA83" s="454">
        <f t="shared" si="85"/>
        <v>83800</v>
      </c>
      <c r="AB83" s="454">
        <f t="shared" si="86"/>
        <v>315580</v>
      </c>
      <c r="AC83" s="387"/>
      <c r="AD83" s="469"/>
      <c r="AE83" s="401">
        <f t="shared" si="75"/>
        <v>199690</v>
      </c>
      <c r="AF83" s="401">
        <f t="shared" si="76"/>
        <v>1.25</v>
      </c>
      <c r="AG83" s="410">
        <v>0.00059</v>
      </c>
      <c r="AH83" s="403">
        <v>0.00228</v>
      </c>
    </row>
    <row r="84" spans="1:34" s="377" customFormat="1" ht="15" customHeight="1">
      <c r="A84" s="390">
        <f t="shared" si="77"/>
        <v>90000001</v>
      </c>
      <c r="B84" s="414">
        <f>80000000*1.8</f>
        <v>144000000</v>
      </c>
      <c r="C84" s="391">
        <f t="shared" si="81"/>
        <v>9603</v>
      </c>
      <c r="D84" s="413">
        <v>3E-05</v>
      </c>
      <c r="E84" s="375"/>
      <c r="F84" s="389">
        <f t="shared" si="78"/>
        <v>90000001</v>
      </c>
      <c r="G84" s="414">
        <f>80000000*1.8</f>
        <v>144000000</v>
      </c>
      <c r="H84" s="421">
        <f t="shared" si="83"/>
        <v>114215</v>
      </c>
      <c r="I84" s="402">
        <f t="shared" si="67"/>
        <v>0.0002475</v>
      </c>
      <c r="J84" s="421">
        <f t="shared" si="84"/>
        <v>455780</v>
      </c>
      <c r="K84" s="403">
        <f t="shared" si="68"/>
        <v>0.0011775</v>
      </c>
      <c r="L84" s="397">
        <f t="shared" si="69"/>
        <v>284997.5</v>
      </c>
      <c r="M84" s="456"/>
      <c r="N84" s="468"/>
      <c r="O84" s="469"/>
      <c r="P84" s="401">
        <f t="shared" si="70"/>
        <v>284997.5</v>
      </c>
      <c r="Q84" s="401">
        <f t="shared" si="71"/>
        <v>0.75</v>
      </c>
      <c r="R84" s="410">
        <v>0.00033</v>
      </c>
      <c r="S84" s="403">
        <v>0.00157</v>
      </c>
      <c r="T84" s="380"/>
      <c r="U84" s="390">
        <f t="shared" si="79"/>
        <v>50000001</v>
      </c>
      <c r="V84" s="414">
        <f>80000000</f>
        <v>80000000</v>
      </c>
      <c r="W84" s="417">
        <f t="shared" si="80"/>
        <v>83800</v>
      </c>
      <c r="X84" s="418">
        <f t="shared" si="72"/>
        <v>0.000264</v>
      </c>
      <c r="Y84" s="419">
        <f t="shared" si="82"/>
        <v>315580</v>
      </c>
      <c r="Z84" s="420">
        <f t="shared" si="73"/>
        <v>0.001256</v>
      </c>
      <c r="AA84" s="454">
        <f t="shared" si="85"/>
        <v>91720</v>
      </c>
      <c r="AB84" s="454">
        <f t="shared" si="86"/>
        <v>353260</v>
      </c>
      <c r="AC84" s="387"/>
      <c r="AD84" s="469"/>
      <c r="AE84" s="401">
        <f t="shared" si="75"/>
        <v>222490</v>
      </c>
      <c r="AF84" s="401">
        <f t="shared" si="76"/>
        <v>1.25</v>
      </c>
      <c r="AG84" s="410">
        <v>0.00033</v>
      </c>
      <c r="AH84" s="403">
        <v>0.00157</v>
      </c>
    </row>
    <row r="85" spans="1:34" s="377" customFormat="1" ht="15" customHeight="1">
      <c r="A85" s="390">
        <f t="shared" si="77"/>
        <v>144000001</v>
      </c>
      <c r="B85" s="414">
        <f>100000000*1.8</f>
        <v>180000000</v>
      </c>
      <c r="C85" s="391">
        <f t="shared" si="81"/>
        <v>10323</v>
      </c>
      <c r="D85" s="413">
        <v>2E-05</v>
      </c>
      <c r="E85" s="375"/>
      <c r="F85" s="389">
        <f t="shared" si="78"/>
        <v>144000001</v>
      </c>
      <c r="G85" s="414">
        <f>100000000*1.8</f>
        <v>180000000</v>
      </c>
      <c r="H85" s="421">
        <f t="shared" si="83"/>
        <v>119885</v>
      </c>
      <c r="I85" s="402">
        <f t="shared" si="67"/>
        <v>0.0001575</v>
      </c>
      <c r="J85" s="421">
        <f t="shared" si="84"/>
        <v>486830</v>
      </c>
      <c r="K85" s="403">
        <f t="shared" si="68"/>
        <v>0.0008625</v>
      </c>
      <c r="L85" s="397">
        <f t="shared" si="69"/>
        <v>303357.5</v>
      </c>
      <c r="M85" s="456"/>
      <c r="N85" s="468"/>
      <c r="O85" s="469"/>
      <c r="P85" s="401">
        <f t="shared" si="70"/>
        <v>303357.5</v>
      </c>
      <c r="Q85" s="401">
        <f t="shared" si="71"/>
        <v>0.75</v>
      </c>
      <c r="R85" s="410">
        <v>0.00021</v>
      </c>
      <c r="S85" s="403">
        <v>0.00115</v>
      </c>
      <c r="T85" s="380"/>
      <c r="U85" s="390">
        <f t="shared" si="79"/>
        <v>80000001</v>
      </c>
      <c r="V85" s="414">
        <f>100000000</f>
        <v>100000000</v>
      </c>
      <c r="W85" s="417">
        <f t="shared" si="80"/>
        <v>91720</v>
      </c>
      <c r="X85" s="418">
        <f t="shared" si="72"/>
        <v>0.00016800000000000002</v>
      </c>
      <c r="Y85" s="419">
        <f t="shared" si="82"/>
        <v>353260</v>
      </c>
      <c r="Z85" s="420">
        <f t="shared" si="73"/>
        <v>0.00092</v>
      </c>
      <c r="AA85" s="454">
        <f t="shared" si="85"/>
        <v>95080</v>
      </c>
      <c r="AB85" s="454">
        <f t="shared" si="86"/>
        <v>371660</v>
      </c>
      <c r="AC85" s="387"/>
      <c r="AD85" s="469"/>
      <c r="AE85" s="401">
        <f t="shared" si="75"/>
        <v>233370</v>
      </c>
      <c r="AF85" s="401">
        <f t="shared" si="76"/>
        <v>1.25</v>
      </c>
      <c r="AG85" s="410">
        <v>0.00021</v>
      </c>
      <c r="AH85" s="403">
        <v>0.00115</v>
      </c>
    </row>
    <row r="86" spans="1:34" s="377" customFormat="1" ht="15" customHeight="1">
      <c r="A86" s="390">
        <f t="shared" si="77"/>
        <v>180000001</v>
      </c>
      <c r="B86" s="414">
        <f>500000000*1.8</f>
        <v>900000000</v>
      </c>
      <c r="C86" s="391">
        <f t="shared" si="81"/>
        <v>11043</v>
      </c>
      <c r="D86" s="413">
        <v>1E-06</v>
      </c>
      <c r="E86" s="375"/>
      <c r="F86" s="389">
        <f t="shared" si="78"/>
        <v>180000001</v>
      </c>
      <c r="G86" s="414">
        <f>500000000*1.8</f>
        <v>900000000</v>
      </c>
      <c r="H86" s="421">
        <f t="shared" si="83"/>
        <v>179285</v>
      </c>
      <c r="I86" s="402">
        <f t="shared" si="67"/>
        <v>8.25E-05</v>
      </c>
      <c r="J86" s="421">
        <f t="shared" si="84"/>
        <v>800030</v>
      </c>
      <c r="K86" s="403">
        <f t="shared" si="68"/>
        <v>0.000435</v>
      </c>
      <c r="L86" s="397">
        <f t="shared" si="69"/>
        <v>489657.5</v>
      </c>
      <c r="M86" s="456"/>
      <c r="N86" s="468"/>
      <c r="O86" s="469"/>
      <c r="P86" s="401">
        <f t="shared" si="70"/>
        <v>489657.5</v>
      </c>
      <c r="Q86" s="401">
        <f t="shared" si="71"/>
        <v>0.75</v>
      </c>
      <c r="R86" s="410">
        <v>0.00011</v>
      </c>
      <c r="S86" s="403">
        <v>0.00058</v>
      </c>
      <c r="T86" s="380"/>
      <c r="U86" s="390">
        <f t="shared" si="79"/>
        <v>100000001</v>
      </c>
      <c r="V86" s="414">
        <f>500000000</f>
        <v>500000000</v>
      </c>
      <c r="W86" s="417">
        <f t="shared" si="80"/>
        <v>95080</v>
      </c>
      <c r="X86" s="418">
        <f t="shared" si="72"/>
        <v>8.8E-05</v>
      </c>
      <c r="Y86" s="419">
        <f t="shared" si="82"/>
        <v>371660</v>
      </c>
      <c r="Z86" s="420">
        <f t="shared" si="73"/>
        <v>0.000464</v>
      </c>
      <c r="AA86" s="454">
        <f t="shared" si="85"/>
        <v>130280</v>
      </c>
      <c r="AB86" s="454">
        <f t="shared" si="86"/>
        <v>557260</v>
      </c>
      <c r="AC86" s="387"/>
      <c r="AD86" s="469"/>
      <c r="AE86" s="401">
        <f t="shared" si="75"/>
        <v>343770</v>
      </c>
      <c r="AF86" s="401">
        <f t="shared" si="76"/>
        <v>1.25</v>
      </c>
      <c r="AG86" s="410">
        <v>0.00011</v>
      </c>
      <c r="AH86" s="403">
        <v>0.00058</v>
      </c>
    </row>
    <row r="87" spans="1:34" ht="15" customHeight="1">
      <c r="A87" s="390">
        <f t="shared" si="77"/>
        <v>900000001</v>
      </c>
      <c r="B87" s="422"/>
      <c r="C87" s="391"/>
      <c r="D87" s="413">
        <v>1E-06</v>
      </c>
      <c r="F87" s="389">
        <f t="shared" si="78"/>
        <v>900000001</v>
      </c>
      <c r="G87" s="423"/>
      <c r="H87" s="510">
        <f t="shared" si="83"/>
        <v>105035</v>
      </c>
      <c r="I87" s="402">
        <f t="shared" si="67"/>
        <v>8.25E-05</v>
      </c>
      <c r="J87" s="421">
        <f t="shared" si="84"/>
        <v>503030</v>
      </c>
      <c r="K87" s="403">
        <f t="shared" si="68"/>
        <v>0.00033</v>
      </c>
      <c r="L87" s="397">
        <f t="shared" si="69"/>
        <v>304032.5</v>
      </c>
      <c r="M87" s="424"/>
      <c r="N87" s="468"/>
      <c r="O87" s="470"/>
      <c r="P87" s="375"/>
      <c r="Q87" s="401">
        <f t="shared" si="71"/>
        <v>0.75</v>
      </c>
      <c r="R87" s="425">
        <v>0.00011</v>
      </c>
      <c r="S87" s="425">
        <v>0.00044</v>
      </c>
      <c r="T87" s="380"/>
      <c r="U87" s="390">
        <f t="shared" si="79"/>
        <v>500000001</v>
      </c>
      <c r="V87" s="423"/>
      <c r="W87" s="422">
        <f>AA86</f>
        <v>130280</v>
      </c>
      <c r="X87" s="418">
        <f t="shared" si="72"/>
        <v>8E-05</v>
      </c>
      <c r="Y87" s="422">
        <f>AB86</f>
        <v>557260</v>
      </c>
      <c r="Z87" s="420">
        <f t="shared" si="73"/>
        <v>3.2E-06</v>
      </c>
      <c r="AA87" s="458"/>
      <c r="AB87" s="423"/>
      <c r="AC87" s="387"/>
      <c r="AD87" s="470"/>
      <c r="AE87" s="375"/>
      <c r="AF87" s="401">
        <f t="shared" si="76"/>
        <v>1.25</v>
      </c>
      <c r="AG87" s="375">
        <v>0.0001</v>
      </c>
      <c r="AH87" s="425">
        <v>4E-06</v>
      </c>
    </row>
    <row r="88" spans="1:34" ht="15" customHeight="1">
      <c r="A88" s="427"/>
      <c r="B88" s="422"/>
      <c r="C88" s="427"/>
      <c r="D88" s="428"/>
      <c r="F88" s="427"/>
      <c r="G88" s="423"/>
      <c r="H88" s="454"/>
      <c r="I88" s="429"/>
      <c r="J88" s="454"/>
      <c r="K88" s="459"/>
      <c r="L88" s="430"/>
      <c r="M88" s="431"/>
      <c r="N88" s="460"/>
      <c r="O88" s="470"/>
      <c r="P88" s="375"/>
      <c r="Q88" s="401"/>
      <c r="R88" s="375"/>
      <c r="S88" s="425"/>
      <c r="T88" s="380"/>
      <c r="U88" s="427"/>
      <c r="V88" s="423"/>
      <c r="W88" s="422"/>
      <c r="X88" s="429"/>
      <c r="Y88" s="422"/>
      <c r="Z88" s="459"/>
      <c r="AA88" s="458"/>
      <c r="AB88" s="423"/>
      <c r="AC88" s="387"/>
      <c r="AD88" s="470"/>
      <c r="AE88" s="375"/>
      <c r="AF88" s="401"/>
      <c r="AG88" s="375"/>
      <c r="AH88" s="425"/>
    </row>
    <row r="89" spans="1:34" ht="15" customHeight="1">
      <c r="A89" s="427"/>
      <c r="B89" s="422"/>
      <c r="C89" s="427"/>
      <c r="D89" s="428"/>
      <c r="F89" s="427"/>
      <c r="G89" s="423"/>
      <c r="H89" s="454"/>
      <c r="I89" s="429"/>
      <c r="J89" s="454"/>
      <c r="K89" s="459"/>
      <c r="L89" s="430"/>
      <c r="M89" s="431"/>
      <c r="N89" s="511"/>
      <c r="O89" s="470"/>
      <c r="P89" s="375"/>
      <c r="Q89" s="401"/>
      <c r="R89" s="375"/>
      <c r="S89" s="425"/>
      <c r="T89" s="380"/>
      <c r="U89" s="427"/>
      <c r="V89" s="423"/>
      <c r="W89" s="422"/>
      <c r="X89" s="429"/>
      <c r="Y89" s="422"/>
      <c r="Z89" s="459"/>
      <c r="AA89" s="458"/>
      <c r="AB89" s="423"/>
      <c r="AC89" s="387"/>
      <c r="AD89" s="470"/>
      <c r="AE89" s="375"/>
      <c r="AF89" s="401"/>
      <c r="AG89" s="375"/>
      <c r="AH89" s="425"/>
    </row>
    <row r="90" spans="1:10" ht="15" customHeight="1">
      <c r="A90" s="374" t="s">
        <v>602</v>
      </c>
      <c r="B90" s="471" t="s">
        <v>603</v>
      </c>
      <c r="C90" s="376" t="s">
        <v>536</v>
      </c>
      <c r="D90" s="434" t="s">
        <v>586</v>
      </c>
      <c r="F90" s="679" t="s">
        <v>587</v>
      </c>
      <c r="G90" s="679"/>
      <c r="H90" s="679"/>
      <c r="I90" s="679"/>
      <c r="J90" s="679"/>
    </row>
    <row r="91" spans="1:29" ht="15" customHeight="1">
      <c r="A91" s="436">
        <f aca="true" t="shared" si="87" ref="A91:A97">IF($J$91&gt;=G73+0.01,IF($J$91&lt;=G74,H74,""),"")</f>
      </c>
      <c r="B91" s="439">
        <f aca="true" t="shared" si="88" ref="B91:B97">IF($J$91&gt;=G73+0.01,IF($J$91&lt;=G74,J74,""),"")</f>
      </c>
      <c r="C91" s="472">
        <f>SUM(A91:B91)*0.5</f>
        <v>0</v>
      </c>
      <c r="D91" s="439">
        <f>IF($J$91&gt;=B73+0.01,IF($J$91&lt;=B74,C74+(($J$91-B74)*D74),""),"")</f>
      </c>
      <c r="F91" s="440" t="s">
        <v>609</v>
      </c>
      <c r="J91" s="461">
        <f>G80</f>
        <v>9000000</v>
      </c>
      <c r="M91" s="376"/>
      <c r="N91" s="374"/>
      <c r="AB91" s="376"/>
      <c r="AC91" s="374"/>
    </row>
    <row r="92" spans="1:29" ht="15" customHeight="1">
      <c r="A92" s="436">
        <f t="shared" si="87"/>
      </c>
      <c r="B92" s="439">
        <f t="shared" si="88"/>
      </c>
      <c r="C92" s="472">
        <f aca="true" t="shared" si="89" ref="C92:C97">SUM(A92:B92)*0.5</f>
        <v>0</v>
      </c>
      <c r="D92" s="439">
        <f aca="true" t="shared" si="90" ref="D92:D103">IF($J$91&gt;=B74+0.01,IF($J$91&lt;=B75,C74+(($J$91-B74)*D75),""),"")</f>
      </c>
      <c r="G92" s="441" t="s">
        <v>550</v>
      </c>
      <c r="H92" s="670" t="s">
        <v>611</v>
      </c>
      <c r="I92" s="670"/>
      <c r="J92" s="670"/>
      <c r="M92" s="376"/>
      <c r="N92" s="374"/>
      <c r="AB92" s="376"/>
      <c r="AC92" s="374"/>
    </row>
    <row r="93" spans="1:29" ht="15" customHeight="1">
      <c r="A93" s="436">
        <f t="shared" si="87"/>
      </c>
      <c r="B93" s="439">
        <f t="shared" si="88"/>
      </c>
      <c r="C93" s="472">
        <f t="shared" si="89"/>
        <v>0</v>
      </c>
      <c r="D93" s="439">
        <f t="shared" si="90"/>
      </c>
      <c r="F93" s="442"/>
      <c r="G93" s="441" t="s">
        <v>610</v>
      </c>
      <c r="H93" s="442" t="s">
        <v>604</v>
      </c>
      <c r="I93" s="442" t="s">
        <v>582</v>
      </c>
      <c r="J93" s="434"/>
      <c r="M93" s="376"/>
      <c r="N93" s="374"/>
      <c r="AB93" s="376"/>
      <c r="AC93" s="374"/>
    </row>
    <row r="94" spans="1:29" ht="15" customHeight="1">
      <c r="A94" s="436">
        <f t="shared" si="87"/>
      </c>
      <c r="B94" s="439">
        <f t="shared" si="88"/>
      </c>
      <c r="C94" s="472">
        <f t="shared" si="89"/>
        <v>0</v>
      </c>
      <c r="D94" s="439">
        <f t="shared" si="90"/>
      </c>
      <c r="F94" s="440" t="s">
        <v>607</v>
      </c>
      <c r="M94" s="376"/>
      <c r="N94" s="374"/>
      <c r="AB94" s="376"/>
      <c r="AC94" s="374"/>
    </row>
    <row r="95" spans="1:29" ht="15" customHeight="1">
      <c r="A95" s="436">
        <f t="shared" si="87"/>
      </c>
      <c r="B95" s="439">
        <f t="shared" si="88"/>
      </c>
      <c r="C95" s="472">
        <f t="shared" si="89"/>
        <v>0</v>
      </c>
      <c r="D95" s="439">
        <f t="shared" si="90"/>
      </c>
      <c r="F95" s="440" t="s">
        <v>545</v>
      </c>
      <c r="G95" s="440">
        <f>SUM(A91:A97)</f>
        <v>59000</v>
      </c>
      <c r="H95" s="440">
        <f>G95*1.2</f>
        <v>70800</v>
      </c>
      <c r="I95" s="440">
        <f>G95*0.9*2</f>
        <v>106200</v>
      </c>
      <c r="J95" s="443">
        <f>SUM(H95:I95)</f>
        <v>177000</v>
      </c>
      <c r="M95" s="376"/>
      <c r="N95" s="374"/>
      <c r="AB95" s="376"/>
      <c r="AC95" s="374"/>
    </row>
    <row r="96" spans="1:4" ht="15" customHeight="1">
      <c r="A96" s="436">
        <f t="shared" si="87"/>
      </c>
      <c r="B96" s="439">
        <f t="shared" si="88"/>
      </c>
      <c r="C96" s="472">
        <f t="shared" si="89"/>
        <v>0</v>
      </c>
      <c r="D96" s="439">
        <f t="shared" si="90"/>
      </c>
    </row>
    <row r="97" spans="1:10" ht="15" customHeight="1">
      <c r="A97" s="436">
        <f t="shared" si="87"/>
        <v>59000</v>
      </c>
      <c r="B97" s="439">
        <f t="shared" si="88"/>
        <v>204140</v>
      </c>
      <c r="C97" s="472">
        <f t="shared" si="89"/>
        <v>131570</v>
      </c>
      <c r="D97" s="439">
        <f t="shared" si="90"/>
        <v>4383</v>
      </c>
      <c r="F97" s="440" t="s">
        <v>608</v>
      </c>
      <c r="G97" s="444"/>
      <c r="H97" s="444"/>
      <c r="I97" s="444"/>
      <c r="J97" s="445"/>
    </row>
    <row r="98" spans="1:10" ht="15" customHeight="1">
      <c r="A98" s="446">
        <f aca="true" t="shared" si="91" ref="A98:A103">IF($J$91&gt;=G80+0.01,IF($J$91&lt;=G81,H80+(($J$91-G80)*I81),""),"")</f>
      </c>
      <c r="B98" s="447">
        <f aca="true" t="shared" si="92" ref="B98:B103">IF($J$91&gt;=G80+0.01,IF($J$91&lt;=G81,J80+(($J$91-G80)*K81),""),"")</f>
      </c>
      <c r="C98" s="448">
        <f>SUM(A98:B98)*0.5</f>
        <v>0</v>
      </c>
      <c r="D98" s="447">
        <f t="shared" si="90"/>
      </c>
      <c r="F98" s="434" t="s">
        <v>545</v>
      </c>
      <c r="G98" s="544">
        <f>SUM(A98:A104)</f>
        <v>0</v>
      </c>
      <c r="H98" s="544">
        <f>G98*1.2</f>
        <v>0</v>
      </c>
      <c r="I98" s="544">
        <f>G98*0.9*2</f>
        <v>0</v>
      </c>
      <c r="J98" s="542">
        <f>H98+I98</f>
        <v>0</v>
      </c>
    </row>
    <row r="99" spans="1:10" ht="15" customHeight="1">
      <c r="A99" s="446">
        <f t="shared" si="91"/>
      </c>
      <c r="B99" s="447">
        <f t="shared" si="92"/>
      </c>
      <c r="C99" s="448">
        <f aca="true" t="shared" si="93" ref="C99:C104">SUM(A99:B99)*0.5</f>
        <v>0</v>
      </c>
      <c r="D99" s="447">
        <f t="shared" si="90"/>
      </c>
      <c r="F99" s="434" t="s">
        <v>536</v>
      </c>
      <c r="G99" s="544">
        <f>SUM(C98:C104)</f>
        <v>0</v>
      </c>
      <c r="H99" s="544">
        <f>G99*1.2</f>
        <v>0</v>
      </c>
      <c r="I99" s="544">
        <f>G99*0.9*2</f>
        <v>0</v>
      </c>
      <c r="J99" s="542">
        <f>H99+I99</f>
        <v>0</v>
      </c>
    </row>
    <row r="100" spans="1:10" ht="15" customHeight="1">
      <c r="A100" s="446">
        <f t="shared" si="91"/>
      </c>
      <c r="B100" s="447">
        <f t="shared" si="92"/>
      </c>
      <c r="C100" s="448">
        <f t="shared" si="93"/>
        <v>0</v>
      </c>
      <c r="D100" s="447">
        <f t="shared" si="90"/>
      </c>
      <c r="F100" s="434" t="s">
        <v>539</v>
      </c>
      <c r="G100" s="544">
        <f>SUM(B98:B104)</f>
        <v>0</v>
      </c>
      <c r="H100" s="544">
        <f>G100*1.2</f>
        <v>0</v>
      </c>
      <c r="I100" s="544">
        <f>G100*0.9*2</f>
        <v>0</v>
      </c>
      <c r="J100" s="542">
        <f>H100+I100</f>
        <v>0</v>
      </c>
    </row>
    <row r="101" spans="1:10" ht="15" customHeight="1">
      <c r="A101" s="446">
        <f t="shared" si="91"/>
      </c>
      <c r="B101" s="447">
        <f t="shared" si="92"/>
      </c>
      <c r="C101" s="448">
        <f t="shared" si="93"/>
        <v>0</v>
      </c>
      <c r="D101" s="447">
        <f t="shared" si="90"/>
      </c>
      <c r="J101" s="449"/>
    </row>
    <row r="102" spans="1:10" ht="15" customHeight="1">
      <c r="A102" s="446">
        <f t="shared" si="91"/>
      </c>
      <c r="B102" s="447">
        <f t="shared" si="92"/>
      </c>
      <c r="C102" s="448">
        <f t="shared" si="93"/>
        <v>0</v>
      </c>
      <c r="D102" s="447">
        <f t="shared" si="90"/>
      </c>
      <c r="F102" s="434" t="s">
        <v>586</v>
      </c>
      <c r="G102" s="381">
        <v>24</v>
      </c>
      <c r="H102" s="381" t="s">
        <v>606</v>
      </c>
      <c r="I102" s="381"/>
      <c r="J102" s="440">
        <f>SUM(D91:D104)*G102</f>
        <v>105192</v>
      </c>
    </row>
    <row r="103" spans="1:10" ht="15" customHeight="1">
      <c r="A103" s="446">
        <f t="shared" si="91"/>
      </c>
      <c r="B103" s="447">
        <f t="shared" si="92"/>
      </c>
      <c r="C103" s="448">
        <f t="shared" si="93"/>
        <v>0</v>
      </c>
      <c r="D103" s="447">
        <f t="shared" si="90"/>
      </c>
      <c r="J103" s="449"/>
    </row>
    <row r="104" spans="1:34" ht="15" customHeight="1">
      <c r="A104" s="446">
        <f>IF($J$91&gt;=G86+0.01,H86+(($J$91-G86)*I87),"")</f>
      </c>
      <c r="B104" s="447">
        <f>IF($J$91&gt;=G86+0.01,J86+(($J$91-G86)*K87),"")</f>
      </c>
      <c r="C104" s="448">
        <f t="shared" si="93"/>
        <v>0</v>
      </c>
      <c r="D104" s="447">
        <f>IF($J$91&gt;=B86+0.01,C86+(($J$91-B86)*D87),"")</f>
      </c>
      <c r="E104" s="462"/>
      <c r="F104" s="427"/>
      <c r="G104" s="463"/>
      <c r="H104" s="454"/>
      <c r="I104" s="429"/>
      <c r="J104" s="454"/>
      <c r="K104" s="459"/>
      <c r="L104" s="430"/>
      <c r="M104" s="473"/>
      <c r="N104" s="460"/>
      <c r="O104" s="474"/>
      <c r="P104" s="462"/>
      <c r="Q104" s="401"/>
      <c r="R104" s="462"/>
      <c r="S104" s="464"/>
      <c r="T104" s="465"/>
      <c r="U104" s="427"/>
      <c r="V104" s="463"/>
      <c r="W104" s="466"/>
      <c r="X104" s="429"/>
      <c r="Y104" s="466"/>
      <c r="Z104" s="459"/>
      <c r="AA104" s="458"/>
      <c r="AB104" s="463"/>
      <c r="AC104" s="387"/>
      <c r="AD104" s="474"/>
      <c r="AE104" s="462"/>
      <c r="AF104" s="401"/>
      <c r="AG104" s="462"/>
      <c r="AH104" s="464"/>
    </row>
    <row r="105" spans="12:30" ht="15" customHeight="1">
      <c r="L105" s="407"/>
      <c r="M105" s="452"/>
      <c r="N105" s="387"/>
      <c r="O105" s="430"/>
      <c r="AA105" s="407"/>
      <c r="AB105" s="452"/>
      <c r="AC105" s="387"/>
      <c r="AD105" s="430"/>
    </row>
    <row r="106" spans="1:34" ht="15" customHeight="1">
      <c r="A106"/>
      <c r="B106"/>
      <c r="C106"/>
      <c r="D106"/>
      <c r="G106" s="378" t="s">
        <v>599</v>
      </c>
      <c r="H106" s="378">
        <v>1.2</v>
      </c>
      <c r="I106" s="378"/>
      <c r="J106" s="378"/>
      <c r="K106" s="378"/>
      <c r="L106" s="378"/>
      <c r="N106" s="387"/>
      <c r="O106" s="452"/>
      <c r="P106" s="453"/>
      <c r="Q106" s="378"/>
      <c r="R106" s="378"/>
      <c r="S106" s="378"/>
      <c r="T106" s="380"/>
      <c r="V106" s="378" t="s">
        <v>599</v>
      </c>
      <c r="W106" s="378">
        <v>1.2</v>
      </c>
      <c r="X106" s="378"/>
      <c r="Y106" s="378"/>
      <c r="Z106" s="378"/>
      <c r="AA106" s="378"/>
      <c r="AC106" s="387"/>
      <c r="AD106" s="452"/>
      <c r="AE106" s="453"/>
      <c r="AF106" s="378"/>
      <c r="AG106" s="378"/>
      <c r="AH106" s="378"/>
    </row>
    <row r="107" spans="1:34" ht="15" customHeight="1">
      <c r="A107" s="381" t="s">
        <v>559</v>
      </c>
      <c r="B107" s="381"/>
      <c r="C107" s="382" t="s">
        <v>543</v>
      </c>
      <c r="D107" s="382"/>
      <c r="F107" s="383" t="s">
        <v>540</v>
      </c>
      <c r="G107" s="384"/>
      <c r="H107" s="383" t="s">
        <v>538</v>
      </c>
      <c r="I107" s="384"/>
      <c r="J107" s="383" t="s">
        <v>539</v>
      </c>
      <c r="K107" s="384"/>
      <c r="L107" s="381" t="s">
        <v>536</v>
      </c>
      <c r="M107" s="385" t="s">
        <v>601</v>
      </c>
      <c r="N107" s="385" t="s">
        <v>546</v>
      </c>
      <c r="P107" s="388" t="s">
        <v>536</v>
      </c>
      <c r="Q107" s="388"/>
      <c r="R107" s="377"/>
      <c r="S107" s="377"/>
      <c r="T107" s="380"/>
      <c r="U107" s="383" t="s">
        <v>540</v>
      </c>
      <c r="V107" s="384"/>
      <c r="W107" s="383" t="s">
        <v>538</v>
      </c>
      <c r="X107" s="384"/>
      <c r="Y107" s="383" t="s">
        <v>539</v>
      </c>
      <c r="Z107" s="384"/>
      <c r="AA107" s="387" t="s">
        <v>538</v>
      </c>
      <c r="AB107" s="387" t="s">
        <v>539</v>
      </c>
      <c r="AC107" s="387" t="s">
        <v>601</v>
      </c>
      <c r="AD107" s="387" t="s">
        <v>546</v>
      </c>
      <c r="AE107" s="388" t="s">
        <v>536</v>
      </c>
      <c r="AF107" s="388">
        <v>1.2</v>
      </c>
      <c r="AG107" s="377"/>
      <c r="AH107" s="377"/>
    </row>
    <row r="108" spans="1:34" ht="15" customHeight="1">
      <c r="A108" s="389">
        <v>1</v>
      </c>
      <c r="B108" s="390">
        <f>50000*1.8</f>
        <v>90000</v>
      </c>
      <c r="C108" s="391">
        <f>B108*D108</f>
        <v>2250</v>
      </c>
      <c r="D108" s="392">
        <v>0.025</v>
      </c>
      <c r="F108" s="512">
        <v>1</v>
      </c>
      <c r="G108" s="513">
        <f>50000*1.8</f>
        <v>90000</v>
      </c>
      <c r="H108" s="393">
        <f aca="true" t="shared" si="94" ref="H108:H114">M108*100</f>
        <v>45000</v>
      </c>
      <c r="I108" s="514">
        <f>R108*Q108</f>
        <v>0.048</v>
      </c>
      <c r="J108" s="393">
        <f>M108*N108</f>
        <v>117000</v>
      </c>
      <c r="K108" s="403">
        <f>S108*Q108</f>
        <v>0.14416</v>
      </c>
      <c r="L108" s="468">
        <f aca="true" t="shared" si="95" ref="L108:L121">(H108+J108)/2</f>
        <v>81000</v>
      </c>
      <c r="M108" s="409">
        <f aca="true" t="shared" si="96" ref="M108:M114">M74</f>
        <v>450</v>
      </c>
      <c r="N108" s="409">
        <v>260</v>
      </c>
      <c r="P108" s="401"/>
      <c r="Q108" s="401">
        <v>0.8</v>
      </c>
      <c r="R108" s="402">
        <f>6%</f>
        <v>0.06</v>
      </c>
      <c r="S108" s="403">
        <f>18.02%</f>
        <v>0.1802</v>
      </c>
      <c r="T108" s="380"/>
      <c r="U108" s="404"/>
      <c r="V108" s="390">
        <f>50000</f>
        <v>50000</v>
      </c>
      <c r="W108" s="405">
        <f>AA108</f>
        <v>45000</v>
      </c>
      <c r="X108" s="402">
        <f>AG108/AF108</f>
        <v>0.05</v>
      </c>
      <c r="Y108" s="406">
        <f>AB108</f>
        <v>117000</v>
      </c>
      <c r="Z108" s="403">
        <f>AH108/AF108</f>
        <v>0.15016666666666667</v>
      </c>
      <c r="AA108" s="393">
        <f aca="true" t="shared" si="97" ref="AA108:AA114">AC108*100</f>
        <v>45000</v>
      </c>
      <c r="AB108" s="393">
        <f aca="true" t="shared" si="98" ref="AB108:AB114">AC108*AD108</f>
        <v>117000</v>
      </c>
      <c r="AC108" s="412">
        <f aca="true" t="shared" si="99" ref="AC108:AC114">AC74</f>
        <v>450</v>
      </c>
      <c r="AD108" s="412">
        <v>260</v>
      </c>
      <c r="AE108" s="401">
        <f>(AA108+AB108)*0.5</f>
        <v>81000</v>
      </c>
      <c r="AF108" s="401">
        <f>AF107</f>
        <v>1.2</v>
      </c>
      <c r="AG108" s="402">
        <f>6%</f>
        <v>0.06</v>
      </c>
      <c r="AH108" s="403">
        <f>18.02%</f>
        <v>0.1802</v>
      </c>
    </row>
    <row r="109" spans="1:34" ht="15" customHeight="1">
      <c r="A109" s="389">
        <f>B108+1</f>
        <v>90001</v>
      </c>
      <c r="B109" s="390">
        <f>100000*1.8</f>
        <v>180000</v>
      </c>
      <c r="C109" s="391">
        <f>C108+(B109-B108)*D109</f>
        <v>2700</v>
      </c>
      <c r="D109" s="392">
        <v>0.005</v>
      </c>
      <c r="F109" s="512">
        <f>G108+1</f>
        <v>90001</v>
      </c>
      <c r="G109" s="513">
        <f>100000*1.8</f>
        <v>180000</v>
      </c>
      <c r="H109" s="393">
        <f t="shared" si="94"/>
        <v>45500</v>
      </c>
      <c r="I109" s="514">
        <f aca="true" t="shared" si="100" ref="I109:I121">R109*Q109</f>
        <v>0.0212</v>
      </c>
      <c r="J109" s="393">
        <f aca="true" t="shared" si="101" ref="J109:J114">M109*N109</f>
        <v>118300</v>
      </c>
      <c r="K109" s="403">
        <f aca="true" t="shared" si="102" ref="K109:K121">S109*Q109</f>
        <v>0.108544</v>
      </c>
      <c r="L109" s="468">
        <f t="shared" si="95"/>
        <v>81900</v>
      </c>
      <c r="M109" s="409">
        <f t="shared" si="96"/>
        <v>455</v>
      </c>
      <c r="N109" s="409">
        <v>260</v>
      </c>
      <c r="P109" s="401">
        <f aca="true" t="shared" si="103" ref="P109:P120">(H109+J109)*0.5</f>
        <v>81900</v>
      </c>
      <c r="Q109" s="401">
        <f aca="true" t="shared" si="104" ref="Q109:Q121">Q108</f>
        <v>0.8</v>
      </c>
      <c r="R109" s="410">
        <v>0.0265</v>
      </c>
      <c r="S109" s="403">
        <v>0.13568</v>
      </c>
      <c r="T109" s="380"/>
      <c r="U109" s="390">
        <f>V108+1</f>
        <v>50001</v>
      </c>
      <c r="V109" s="390">
        <f>100000</f>
        <v>100000</v>
      </c>
      <c r="W109" s="405">
        <f>AA108</f>
        <v>45000</v>
      </c>
      <c r="X109" s="402">
        <f aca="true" t="shared" si="105" ref="X109:X121">AG109/AF109</f>
        <v>0.022083333333333333</v>
      </c>
      <c r="Y109" s="411">
        <f>AB108</f>
        <v>117000</v>
      </c>
      <c r="Z109" s="403">
        <f aca="true" t="shared" si="106" ref="Z109:Z121">AH109/AF109</f>
        <v>0.11306666666666666</v>
      </c>
      <c r="AA109" s="393">
        <f t="shared" si="97"/>
        <v>45500</v>
      </c>
      <c r="AB109" s="393">
        <f t="shared" si="98"/>
        <v>118300</v>
      </c>
      <c r="AC109" s="412">
        <f t="shared" si="99"/>
        <v>455</v>
      </c>
      <c r="AD109" s="412">
        <v>260</v>
      </c>
      <c r="AE109" s="401">
        <f aca="true" t="shared" si="107" ref="AE109:AE120">(AA109+AB109)*0.5</f>
        <v>81900</v>
      </c>
      <c r="AF109" s="401">
        <f aca="true" t="shared" si="108" ref="AF109:AF121">AF108</f>
        <v>1.2</v>
      </c>
      <c r="AG109" s="410">
        <v>0.0265</v>
      </c>
      <c r="AH109" s="403">
        <v>0.13568</v>
      </c>
    </row>
    <row r="110" spans="1:34" ht="15" customHeight="1">
      <c r="A110" s="390">
        <f aca="true" t="shared" si="109" ref="A110:A121">B109+1</f>
        <v>180001</v>
      </c>
      <c r="B110" s="390">
        <f>200000*1.8</f>
        <v>360000</v>
      </c>
      <c r="C110" s="391">
        <f>C109+(B110-B109)*D110</f>
        <v>2970</v>
      </c>
      <c r="D110" s="413">
        <v>0.0015</v>
      </c>
      <c r="F110" s="512">
        <f aca="true" t="shared" si="110" ref="F110:F121">G109+1</f>
        <v>180001</v>
      </c>
      <c r="G110" s="513">
        <f>200000*1.8</f>
        <v>360000</v>
      </c>
      <c r="H110" s="393">
        <f t="shared" si="94"/>
        <v>47500</v>
      </c>
      <c r="I110" s="514">
        <f t="shared" si="100"/>
        <v>0.011448</v>
      </c>
      <c r="J110" s="393">
        <f t="shared" si="101"/>
        <v>123500</v>
      </c>
      <c r="K110" s="403">
        <f t="shared" si="102"/>
        <v>0.06148000000000001</v>
      </c>
      <c r="L110" s="468">
        <f t="shared" si="95"/>
        <v>85500</v>
      </c>
      <c r="M110" s="409">
        <f t="shared" si="96"/>
        <v>475</v>
      </c>
      <c r="N110" s="409">
        <v>260</v>
      </c>
      <c r="P110" s="401">
        <f t="shared" si="103"/>
        <v>85500</v>
      </c>
      <c r="Q110" s="401">
        <f t="shared" si="104"/>
        <v>0.8</v>
      </c>
      <c r="R110" s="410">
        <v>0.01431</v>
      </c>
      <c r="S110" s="403">
        <v>0.07685</v>
      </c>
      <c r="T110" s="380"/>
      <c r="U110" s="390">
        <f aca="true" t="shared" si="111" ref="U110:U121">V109+1</f>
        <v>100001</v>
      </c>
      <c r="V110" s="390">
        <f>200000</f>
        <v>200000</v>
      </c>
      <c r="W110" s="405">
        <f aca="true" t="shared" si="112" ref="W110:W120">AA109</f>
        <v>45500</v>
      </c>
      <c r="X110" s="402">
        <f t="shared" si="105"/>
        <v>0.011925</v>
      </c>
      <c r="Y110" s="411">
        <f>AB109</f>
        <v>118300</v>
      </c>
      <c r="Z110" s="403">
        <f t="shared" si="106"/>
        <v>0.06404166666666668</v>
      </c>
      <c r="AA110" s="393">
        <f t="shared" si="97"/>
        <v>47500</v>
      </c>
      <c r="AB110" s="393">
        <f t="shared" si="98"/>
        <v>123500</v>
      </c>
      <c r="AC110" s="412">
        <f t="shared" si="99"/>
        <v>475</v>
      </c>
      <c r="AD110" s="412">
        <v>260</v>
      </c>
      <c r="AE110" s="401">
        <f t="shared" si="107"/>
        <v>85500</v>
      </c>
      <c r="AF110" s="401">
        <f t="shared" si="108"/>
        <v>1.2</v>
      </c>
      <c r="AG110" s="410">
        <v>0.01431</v>
      </c>
      <c r="AH110" s="403">
        <v>0.07685</v>
      </c>
    </row>
    <row r="111" spans="1:34" ht="15" customHeight="1">
      <c r="A111" s="390">
        <f t="shared" si="109"/>
        <v>360001</v>
      </c>
      <c r="B111" s="390">
        <f>500000*1.8</f>
        <v>900000</v>
      </c>
      <c r="C111" s="391">
        <f aca="true" t="shared" si="113" ref="C111:C120">C110+(B111-B110)*D111</f>
        <v>3510</v>
      </c>
      <c r="D111" s="413">
        <v>0.001</v>
      </c>
      <c r="F111" s="512">
        <f t="shared" si="110"/>
        <v>360001</v>
      </c>
      <c r="G111" s="513">
        <f>500000*1.8</f>
        <v>900000</v>
      </c>
      <c r="H111" s="393">
        <f t="shared" si="94"/>
        <v>50200</v>
      </c>
      <c r="I111" s="514">
        <f t="shared" si="100"/>
        <v>0.010936000000000001</v>
      </c>
      <c r="J111" s="393">
        <f t="shared" si="101"/>
        <v>130520</v>
      </c>
      <c r="K111" s="403">
        <f t="shared" si="102"/>
        <v>0.054696</v>
      </c>
      <c r="L111" s="468">
        <f t="shared" si="95"/>
        <v>90360</v>
      </c>
      <c r="M111" s="409">
        <f t="shared" si="96"/>
        <v>502</v>
      </c>
      <c r="N111" s="409">
        <v>260</v>
      </c>
      <c r="P111" s="401">
        <f t="shared" si="103"/>
        <v>90360</v>
      </c>
      <c r="Q111" s="401">
        <f t="shared" si="104"/>
        <v>0.8</v>
      </c>
      <c r="R111" s="410">
        <v>0.01367</v>
      </c>
      <c r="S111" s="403">
        <v>0.06837</v>
      </c>
      <c r="T111" s="380"/>
      <c r="U111" s="390">
        <f t="shared" si="111"/>
        <v>200001</v>
      </c>
      <c r="V111" s="390">
        <f>500000</f>
        <v>500000</v>
      </c>
      <c r="W111" s="405">
        <f t="shared" si="112"/>
        <v>47500</v>
      </c>
      <c r="X111" s="402">
        <f t="shared" si="105"/>
        <v>0.011391666666666666</v>
      </c>
      <c r="Y111" s="411">
        <f aca="true" t="shared" si="114" ref="Y111:Y120">AB110</f>
        <v>123500</v>
      </c>
      <c r="Z111" s="403">
        <f t="shared" si="106"/>
        <v>0.056975000000000005</v>
      </c>
      <c r="AA111" s="393">
        <f t="shared" si="97"/>
        <v>50200</v>
      </c>
      <c r="AB111" s="393">
        <f t="shared" si="98"/>
        <v>130520</v>
      </c>
      <c r="AC111" s="412">
        <f t="shared" si="99"/>
        <v>502</v>
      </c>
      <c r="AD111" s="412">
        <v>260</v>
      </c>
      <c r="AE111" s="401">
        <f t="shared" si="107"/>
        <v>90360</v>
      </c>
      <c r="AF111" s="401">
        <f t="shared" si="108"/>
        <v>1.2</v>
      </c>
      <c r="AG111" s="410">
        <v>0.01367</v>
      </c>
      <c r="AH111" s="403">
        <v>0.06837</v>
      </c>
    </row>
    <row r="112" spans="1:34" ht="15" customHeight="1">
      <c r="A112" s="390">
        <f t="shared" si="109"/>
        <v>900001</v>
      </c>
      <c r="B112" s="390">
        <f>1000000*1.8</f>
        <v>1800000</v>
      </c>
      <c r="C112" s="391">
        <f t="shared" si="113"/>
        <v>3645</v>
      </c>
      <c r="D112" s="413">
        <v>0.00015</v>
      </c>
      <c r="F112" s="512">
        <f t="shared" si="110"/>
        <v>900001</v>
      </c>
      <c r="G112" s="513">
        <f>1000000*1.8</f>
        <v>1800000</v>
      </c>
      <c r="H112" s="393">
        <f t="shared" si="94"/>
        <v>52900</v>
      </c>
      <c r="I112" s="514">
        <f t="shared" si="100"/>
        <v>0.007632</v>
      </c>
      <c r="J112" s="393">
        <f t="shared" si="101"/>
        <v>137540</v>
      </c>
      <c r="K112" s="403">
        <f t="shared" si="102"/>
        <v>0.032224</v>
      </c>
      <c r="L112" s="468">
        <f t="shared" si="95"/>
        <v>95220</v>
      </c>
      <c r="M112" s="409">
        <f t="shared" si="96"/>
        <v>529</v>
      </c>
      <c r="N112" s="409">
        <v>260</v>
      </c>
      <c r="P112" s="401">
        <f t="shared" si="103"/>
        <v>95220</v>
      </c>
      <c r="Q112" s="401">
        <f t="shared" si="104"/>
        <v>0.8</v>
      </c>
      <c r="R112" s="410">
        <v>0.00954</v>
      </c>
      <c r="S112" s="403">
        <v>0.04028</v>
      </c>
      <c r="T112" s="380"/>
      <c r="U112" s="390">
        <f t="shared" si="111"/>
        <v>500001</v>
      </c>
      <c r="V112" s="390">
        <f>1000000</f>
        <v>1000000</v>
      </c>
      <c r="W112" s="405">
        <f t="shared" si="112"/>
        <v>50200</v>
      </c>
      <c r="X112" s="402">
        <f t="shared" si="105"/>
        <v>0.00795</v>
      </c>
      <c r="Y112" s="411">
        <f t="shared" si="114"/>
        <v>130520</v>
      </c>
      <c r="Z112" s="403">
        <f t="shared" si="106"/>
        <v>0.03356666666666667</v>
      </c>
      <c r="AA112" s="393">
        <f t="shared" si="97"/>
        <v>52900</v>
      </c>
      <c r="AB112" s="393">
        <f t="shared" si="98"/>
        <v>137540</v>
      </c>
      <c r="AC112" s="412">
        <f t="shared" si="99"/>
        <v>529</v>
      </c>
      <c r="AD112" s="412">
        <v>260</v>
      </c>
      <c r="AE112" s="401">
        <f t="shared" si="107"/>
        <v>95220</v>
      </c>
      <c r="AF112" s="401">
        <f t="shared" si="108"/>
        <v>1.2</v>
      </c>
      <c r="AG112" s="410">
        <v>0.00954</v>
      </c>
      <c r="AH112" s="403">
        <v>0.04028</v>
      </c>
    </row>
    <row r="113" spans="1:34" ht="15" customHeight="1">
      <c r="A113" s="390">
        <f t="shared" si="109"/>
        <v>1800001</v>
      </c>
      <c r="B113" s="390">
        <f>2000000*1.8</f>
        <v>3600000</v>
      </c>
      <c r="C113" s="391">
        <f t="shared" si="113"/>
        <v>3897</v>
      </c>
      <c r="D113" s="413">
        <v>0.00014</v>
      </c>
      <c r="F113" s="512">
        <f t="shared" si="110"/>
        <v>1800001</v>
      </c>
      <c r="G113" s="513">
        <f>2000000*1.8</f>
        <v>3600000</v>
      </c>
      <c r="H113" s="393">
        <f t="shared" si="94"/>
        <v>55800</v>
      </c>
      <c r="I113" s="514">
        <f t="shared" si="100"/>
        <v>0.005512</v>
      </c>
      <c r="J113" s="393">
        <f t="shared" si="101"/>
        <v>167400</v>
      </c>
      <c r="K113" s="403">
        <f t="shared" si="102"/>
        <v>0.028832000000000003</v>
      </c>
      <c r="L113" s="468">
        <f t="shared" si="95"/>
        <v>111600</v>
      </c>
      <c r="M113" s="409">
        <f t="shared" si="96"/>
        <v>558</v>
      </c>
      <c r="N113" s="409">
        <v>300</v>
      </c>
      <c r="P113" s="401">
        <f t="shared" si="103"/>
        <v>111600</v>
      </c>
      <c r="Q113" s="401">
        <f t="shared" si="104"/>
        <v>0.8</v>
      </c>
      <c r="R113" s="410">
        <v>0.00689</v>
      </c>
      <c r="S113" s="403">
        <v>0.03604</v>
      </c>
      <c r="T113" s="380"/>
      <c r="U113" s="390">
        <f t="shared" si="111"/>
        <v>1000001</v>
      </c>
      <c r="V113" s="390">
        <f>2000000</f>
        <v>2000000</v>
      </c>
      <c r="W113" s="405">
        <f t="shared" si="112"/>
        <v>52900</v>
      </c>
      <c r="X113" s="402">
        <f t="shared" si="105"/>
        <v>0.0057416666666666675</v>
      </c>
      <c r="Y113" s="411">
        <f t="shared" si="114"/>
        <v>137540</v>
      </c>
      <c r="Z113" s="403">
        <f t="shared" si="106"/>
        <v>0.030033333333333335</v>
      </c>
      <c r="AA113" s="393">
        <f t="shared" si="97"/>
        <v>55800</v>
      </c>
      <c r="AB113" s="393">
        <f t="shared" si="98"/>
        <v>167400</v>
      </c>
      <c r="AC113" s="412">
        <f t="shared" si="99"/>
        <v>558</v>
      </c>
      <c r="AD113" s="412">
        <v>300</v>
      </c>
      <c r="AE113" s="401">
        <f t="shared" si="107"/>
        <v>111600</v>
      </c>
      <c r="AF113" s="401">
        <f t="shared" si="108"/>
        <v>1.2</v>
      </c>
      <c r="AG113" s="410">
        <v>0.00689</v>
      </c>
      <c r="AH113" s="403">
        <v>0.03604</v>
      </c>
    </row>
    <row r="114" spans="1:34" ht="15" customHeight="1">
      <c r="A114" s="390">
        <f t="shared" si="109"/>
        <v>3600001</v>
      </c>
      <c r="B114" s="390">
        <f>5000000*1.8</f>
        <v>9000000</v>
      </c>
      <c r="C114" s="391">
        <f t="shared" si="113"/>
        <v>4383</v>
      </c>
      <c r="D114" s="413">
        <v>9E-05</v>
      </c>
      <c r="F114" s="512">
        <f t="shared" si="110"/>
        <v>3600001</v>
      </c>
      <c r="G114" s="513">
        <f>5000000*1.8</f>
        <v>9000000</v>
      </c>
      <c r="H114" s="393">
        <f t="shared" si="94"/>
        <v>59000</v>
      </c>
      <c r="I114" s="514">
        <f t="shared" si="100"/>
        <v>0.003</v>
      </c>
      <c r="J114" s="393">
        <f t="shared" si="101"/>
        <v>212400</v>
      </c>
      <c r="K114" s="403">
        <f t="shared" si="102"/>
        <v>0.011128</v>
      </c>
      <c r="L114" s="468">
        <f t="shared" si="95"/>
        <v>135700</v>
      </c>
      <c r="M114" s="409">
        <f t="shared" si="96"/>
        <v>590</v>
      </c>
      <c r="N114" s="409">
        <v>360</v>
      </c>
      <c r="P114" s="401">
        <f t="shared" si="103"/>
        <v>135700</v>
      </c>
      <c r="Q114" s="401">
        <f t="shared" si="104"/>
        <v>0.8</v>
      </c>
      <c r="R114" s="410">
        <v>0.00375</v>
      </c>
      <c r="S114" s="403">
        <v>0.01391</v>
      </c>
      <c r="T114" s="380"/>
      <c r="U114" s="390">
        <f t="shared" si="111"/>
        <v>2000001</v>
      </c>
      <c r="V114" s="390">
        <f>5000000</f>
        <v>5000000</v>
      </c>
      <c r="W114" s="405">
        <f t="shared" si="112"/>
        <v>55800</v>
      </c>
      <c r="X114" s="402">
        <f t="shared" si="105"/>
        <v>0.003125</v>
      </c>
      <c r="Y114" s="411">
        <f t="shared" si="114"/>
        <v>167400</v>
      </c>
      <c r="Z114" s="403">
        <f t="shared" si="106"/>
        <v>0.011591666666666667</v>
      </c>
      <c r="AA114" s="393">
        <f t="shared" si="97"/>
        <v>59000</v>
      </c>
      <c r="AB114" s="393">
        <f t="shared" si="98"/>
        <v>212400</v>
      </c>
      <c r="AC114" s="412">
        <f t="shared" si="99"/>
        <v>590</v>
      </c>
      <c r="AD114" s="412">
        <v>360</v>
      </c>
      <c r="AE114" s="401">
        <f t="shared" si="107"/>
        <v>135700</v>
      </c>
      <c r="AF114" s="401">
        <f t="shared" si="108"/>
        <v>1.2</v>
      </c>
      <c r="AG114" s="410">
        <v>0.00375</v>
      </c>
      <c r="AH114" s="403">
        <v>0.01391</v>
      </c>
    </row>
    <row r="115" spans="1:34" ht="15" customHeight="1">
      <c r="A115" s="390">
        <f t="shared" si="109"/>
        <v>9000001</v>
      </c>
      <c r="B115" s="414">
        <f>10000000*1.8</f>
        <v>18000000</v>
      </c>
      <c r="C115" s="391">
        <f t="shared" si="113"/>
        <v>5103</v>
      </c>
      <c r="D115" s="413">
        <v>8E-05</v>
      </c>
      <c r="F115" s="512">
        <f t="shared" si="110"/>
        <v>9000001</v>
      </c>
      <c r="G115" s="515">
        <f>10000000*1.8</f>
        <v>18000000</v>
      </c>
      <c r="H115" s="421">
        <f aca="true" t="shared" si="115" ref="H115:H121">(((G115-G114)*I115)+H114)</f>
        <v>68216</v>
      </c>
      <c r="I115" s="514">
        <f t="shared" si="100"/>
        <v>0.0010240000000000002</v>
      </c>
      <c r="J115" s="421">
        <f aca="true" t="shared" si="116" ref="J115:J121">(((G115-G114)*K115)+J114)</f>
        <v>277920</v>
      </c>
      <c r="K115" s="403">
        <f t="shared" si="102"/>
        <v>0.007280000000000001</v>
      </c>
      <c r="L115" s="468">
        <f t="shared" si="95"/>
        <v>173068</v>
      </c>
      <c r="M115" s="516"/>
      <c r="N115" s="468"/>
      <c r="O115" s="469"/>
      <c r="P115" s="401">
        <f t="shared" si="103"/>
        <v>173068</v>
      </c>
      <c r="Q115" s="401">
        <f t="shared" si="104"/>
        <v>0.8</v>
      </c>
      <c r="R115" s="410">
        <v>0.00128</v>
      </c>
      <c r="S115" s="403">
        <v>0.0091</v>
      </c>
      <c r="T115" s="380"/>
      <c r="U115" s="390">
        <f t="shared" si="111"/>
        <v>5000001</v>
      </c>
      <c r="V115" s="414">
        <f>10000000</f>
        <v>10000000</v>
      </c>
      <c r="W115" s="417">
        <f t="shared" si="112"/>
        <v>59000</v>
      </c>
      <c r="X115" s="418">
        <f t="shared" si="105"/>
        <v>0.0010666666666666667</v>
      </c>
      <c r="Y115" s="419">
        <f t="shared" si="114"/>
        <v>212400</v>
      </c>
      <c r="Z115" s="420">
        <f t="shared" si="106"/>
        <v>0.007583333333333334</v>
      </c>
      <c r="AA115" s="454">
        <f aca="true" t="shared" si="117" ref="AA115:AA120">(((V115-V114)*X115)+W115)</f>
        <v>64333.333333333336</v>
      </c>
      <c r="AB115" s="454">
        <f aca="true" t="shared" si="118" ref="AB115:AB120">(((V115-V114)*Z115)+Y115)</f>
        <v>250316.6666666667</v>
      </c>
      <c r="AC115" s="387"/>
      <c r="AD115" s="469"/>
      <c r="AE115" s="401">
        <f t="shared" si="107"/>
        <v>157325</v>
      </c>
      <c r="AF115" s="401">
        <f t="shared" si="108"/>
        <v>1.2</v>
      </c>
      <c r="AG115" s="410">
        <v>0.00128</v>
      </c>
      <c r="AH115" s="403">
        <v>0.0091</v>
      </c>
    </row>
    <row r="116" spans="1:34" ht="15" customHeight="1">
      <c r="A116" s="390">
        <f t="shared" si="109"/>
        <v>18000001</v>
      </c>
      <c r="B116" s="414">
        <f>30000000*1.8</f>
        <v>54000000</v>
      </c>
      <c r="C116" s="391">
        <f t="shared" si="113"/>
        <v>6543</v>
      </c>
      <c r="D116" s="413">
        <v>4E-05</v>
      </c>
      <c r="F116" s="512">
        <f t="shared" si="110"/>
        <v>18000001</v>
      </c>
      <c r="G116" s="515">
        <f>30000000*1.8</f>
        <v>54000000</v>
      </c>
      <c r="H116" s="421">
        <f t="shared" si="115"/>
        <v>86648</v>
      </c>
      <c r="I116" s="514">
        <f t="shared" si="100"/>
        <v>0.0005120000000000001</v>
      </c>
      <c r="J116" s="421">
        <f t="shared" si="116"/>
        <v>347328</v>
      </c>
      <c r="K116" s="403">
        <f t="shared" si="102"/>
        <v>0.001928</v>
      </c>
      <c r="L116" s="468">
        <f t="shared" si="95"/>
        <v>216988</v>
      </c>
      <c r="M116" s="516"/>
      <c r="N116" s="468"/>
      <c r="O116" s="469"/>
      <c r="P116" s="401">
        <f t="shared" si="103"/>
        <v>216988</v>
      </c>
      <c r="Q116" s="401">
        <f t="shared" si="104"/>
        <v>0.8</v>
      </c>
      <c r="R116" s="410">
        <v>0.00064</v>
      </c>
      <c r="S116" s="403">
        <v>0.00241</v>
      </c>
      <c r="T116" s="380"/>
      <c r="U116" s="390">
        <f t="shared" si="111"/>
        <v>10000001</v>
      </c>
      <c r="V116" s="414">
        <f>30000000</f>
        <v>30000000</v>
      </c>
      <c r="W116" s="417">
        <f t="shared" si="112"/>
        <v>64333.333333333336</v>
      </c>
      <c r="X116" s="418">
        <f t="shared" si="105"/>
        <v>0.0005333333333333334</v>
      </c>
      <c r="Y116" s="419">
        <f t="shared" si="114"/>
        <v>250316.6666666667</v>
      </c>
      <c r="Z116" s="420">
        <f t="shared" si="106"/>
        <v>0.0020083333333333333</v>
      </c>
      <c r="AA116" s="454">
        <f t="shared" si="117"/>
        <v>75000</v>
      </c>
      <c r="AB116" s="454">
        <f t="shared" si="118"/>
        <v>290483.3333333334</v>
      </c>
      <c r="AC116" s="387"/>
      <c r="AD116" s="469"/>
      <c r="AE116" s="401">
        <f t="shared" si="107"/>
        <v>182741.6666666667</v>
      </c>
      <c r="AF116" s="401">
        <f t="shared" si="108"/>
        <v>1.2</v>
      </c>
      <c r="AG116" s="410">
        <v>0.00064</v>
      </c>
      <c r="AH116" s="403">
        <v>0.00241</v>
      </c>
    </row>
    <row r="117" spans="1:34" s="375" customFormat="1" ht="15" customHeight="1">
      <c r="A117" s="390">
        <f t="shared" si="109"/>
        <v>54000001</v>
      </c>
      <c r="B117" s="414">
        <f>50000000*1.8</f>
        <v>90000000</v>
      </c>
      <c r="C117" s="391">
        <f t="shared" si="113"/>
        <v>7983</v>
      </c>
      <c r="D117" s="413">
        <v>4E-05</v>
      </c>
      <c r="F117" s="512">
        <f t="shared" si="110"/>
        <v>54000001</v>
      </c>
      <c r="G117" s="515">
        <f>50000000*1.8</f>
        <v>90000000</v>
      </c>
      <c r="H117" s="421">
        <f t="shared" si="115"/>
        <v>103640</v>
      </c>
      <c r="I117" s="514">
        <f t="shared" si="100"/>
        <v>0.00047200000000000003</v>
      </c>
      <c r="J117" s="421">
        <f t="shared" si="116"/>
        <v>412992</v>
      </c>
      <c r="K117" s="403">
        <f t="shared" si="102"/>
        <v>0.001824</v>
      </c>
      <c r="L117" s="468">
        <f t="shared" si="95"/>
        <v>258316</v>
      </c>
      <c r="M117" s="516"/>
      <c r="N117" s="468"/>
      <c r="O117" s="469"/>
      <c r="P117" s="401">
        <f t="shared" si="103"/>
        <v>258316</v>
      </c>
      <c r="Q117" s="401">
        <f t="shared" si="104"/>
        <v>0.8</v>
      </c>
      <c r="R117" s="410">
        <v>0.00059</v>
      </c>
      <c r="S117" s="403">
        <v>0.00228</v>
      </c>
      <c r="T117" s="380"/>
      <c r="U117" s="390">
        <f t="shared" si="111"/>
        <v>30000001</v>
      </c>
      <c r="V117" s="414">
        <f>50000000</f>
        <v>50000000</v>
      </c>
      <c r="W117" s="417">
        <f t="shared" si="112"/>
        <v>75000</v>
      </c>
      <c r="X117" s="418">
        <f t="shared" si="105"/>
        <v>0.0004916666666666667</v>
      </c>
      <c r="Y117" s="419">
        <f t="shared" si="114"/>
        <v>290483.3333333334</v>
      </c>
      <c r="Z117" s="420">
        <f t="shared" si="106"/>
        <v>0.0019</v>
      </c>
      <c r="AA117" s="454">
        <f t="shared" si="117"/>
        <v>84833.33333333333</v>
      </c>
      <c r="AB117" s="454">
        <f t="shared" si="118"/>
        <v>328483.3333333334</v>
      </c>
      <c r="AC117" s="387"/>
      <c r="AD117" s="469"/>
      <c r="AE117" s="401">
        <f t="shared" si="107"/>
        <v>206658.33333333334</v>
      </c>
      <c r="AF117" s="401">
        <f t="shared" si="108"/>
        <v>1.2</v>
      </c>
      <c r="AG117" s="410">
        <v>0.00059</v>
      </c>
      <c r="AH117" s="403">
        <v>0.00228</v>
      </c>
    </row>
    <row r="118" spans="1:34" s="375" customFormat="1" ht="15" customHeight="1">
      <c r="A118" s="390">
        <f t="shared" si="109"/>
        <v>90000001</v>
      </c>
      <c r="B118" s="414">
        <f>80000000*1.8</f>
        <v>144000000</v>
      </c>
      <c r="C118" s="391">
        <f t="shared" si="113"/>
        <v>9603</v>
      </c>
      <c r="D118" s="413">
        <v>3E-05</v>
      </c>
      <c r="F118" s="512">
        <f t="shared" si="110"/>
        <v>90000001</v>
      </c>
      <c r="G118" s="515">
        <f>80000000*1.8</f>
        <v>144000000</v>
      </c>
      <c r="H118" s="421">
        <f t="shared" si="115"/>
        <v>117896</v>
      </c>
      <c r="I118" s="514">
        <f t="shared" si="100"/>
        <v>0.000264</v>
      </c>
      <c r="J118" s="421">
        <f t="shared" si="116"/>
        <v>480816</v>
      </c>
      <c r="K118" s="403">
        <f t="shared" si="102"/>
        <v>0.0012560000000000002</v>
      </c>
      <c r="L118" s="468">
        <f t="shared" si="95"/>
        <v>299356</v>
      </c>
      <c r="M118" s="516"/>
      <c r="N118" s="468"/>
      <c r="O118" s="469"/>
      <c r="P118" s="401">
        <f t="shared" si="103"/>
        <v>299356</v>
      </c>
      <c r="Q118" s="401">
        <f t="shared" si="104"/>
        <v>0.8</v>
      </c>
      <c r="R118" s="410">
        <v>0.00033</v>
      </c>
      <c r="S118" s="403">
        <v>0.00157</v>
      </c>
      <c r="T118" s="380"/>
      <c r="U118" s="390">
        <f t="shared" si="111"/>
        <v>50000001</v>
      </c>
      <c r="V118" s="414">
        <f>80000000</f>
        <v>80000000</v>
      </c>
      <c r="W118" s="417">
        <f t="shared" si="112"/>
        <v>84833.33333333333</v>
      </c>
      <c r="X118" s="418">
        <f t="shared" si="105"/>
        <v>0.000275</v>
      </c>
      <c r="Y118" s="419">
        <f t="shared" si="114"/>
        <v>328483.3333333334</v>
      </c>
      <c r="Z118" s="420">
        <f t="shared" si="106"/>
        <v>0.0013083333333333334</v>
      </c>
      <c r="AA118" s="454">
        <f t="shared" si="117"/>
        <v>93083.33333333333</v>
      </c>
      <c r="AB118" s="454">
        <f t="shared" si="118"/>
        <v>367733.3333333334</v>
      </c>
      <c r="AC118" s="387"/>
      <c r="AD118" s="469"/>
      <c r="AE118" s="401">
        <f t="shared" si="107"/>
        <v>230408.33333333334</v>
      </c>
      <c r="AF118" s="401">
        <f t="shared" si="108"/>
        <v>1.2</v>
      </c>
      <c r="AG118" s="410">
        <v>0.00033</v>
      </c>
      <c r="AH118" s="403">
        <v>0.00157</v>
      </c>
    </row>
    <row r="119" spans="1:34" s="375" customFormat="1" ht="15" customHeight="1">
      <c r="A119" s="390">
        <f t="shared" si="109"/>
        <v>144000001</v>
      </c>
      <c r="B119" s="414">
        <f>100000000*1.8</f>
        <v>180000000</v>
      </c>
      <c r="C119" s="391">
        <f t="shared" si="113"/>
        <v>10323</v>
      </c>
      <c r="D119" s="413">
        <v>2E-05</v>
      </c>
      <c r="F119" s="512">
        <f t="shared" si="110"/>
        <v>144000001</v>
      </c>
      <c r="G119" s="515">
        <f>100000000*1.8</f>
        <v>180000000</v>
      </c>
      <c r="H119" s="421">
        <f t="shared" si="115"/>
        <v>123944</v>
      </c>
      <c r="I119" s="514">
        <f t="shared" si="100"/>
        <v>0.00016800000000000002</v>
      </c>
      <c r="J119" s="421">
        <f t="shared" si="116"/>
        <v>513936</v>
      </c>
      <c r="K119" s="403">
        <f t="shared" si="102"/>
        <v>0.00092</v>
      </c>
      <c r="L119" s="468">
        <f t="shared" si="95"/>
        <v>318940</v>
      </c>
      <c r="M119" s="516"/>
      <c r="N119" s="468"/>
      <c r="O119" s="469"/>
      <c r="P119" s="401">
        <f t="shared" si="103"/>
        <v>318940</v>
      </c>
      <c r="Q119" s="401">
        <f t="shared" si="104"/>
        <v>0.8</v>
      </c>
      <c r="R119" s="410">
        <v>0.00021</v>
      </c>
      <c r="S119" s="403">
        <v>0.00115</v>
      </c>
      <c r="T119" s="380"/>
      <c r="U119" s="390">
        <f t="shared" si="111"/>
        <v>80000001</v>
      </c>
      <c r="V119" s="414">
        <f>100000000</f>
        <v>100000000</v>
      </c>
      <c r="W119" s="417">
        <f t="shared" si="112"/>
        <v>93083.33333333333</v>
      </c>
      <c r="X119" s="418">
        <f t="shared" si="105"/>
        <v>0.00017500000000000003</v>
      </c>
      <c r="Y119" s="419">
        <f t="shared" si="114"/>
        <v>367733.3333333334</v>
      </c>
      <c r="Z119" s="420">
        <f t="shared" si="106"/>
        <v>0.0009583333333333334</v>
      </c>
      <c r="AA119" s="454">
        <f t="shared" si="117"/>
        <v>96583.33333333333</v>
      </c>
      <c r="AB119" s="454">
        <f t="shared" si="118"/>
        <v>386900.00000000006</v>
      </c>
      <c r="AC119" s="387"/>
      <c r="AD119" s="469"/>
      <c r="AE119" s="401">
        <f t="shared" si="107"/>
        <v>241741.6666666667</v>
      </c>
      <c r="AF119" s="401">
        <f t="shared" si="108"/>
        <v>1.2</v>
      </c>
      <c r="AG119" s="410">
        <v>0.00021</v>
      </c>
      <c r="AH119" s="403">
        <v>0.00115</v>
      </c>
    </row>
    <row r="120" spans="1:34" s="375" customFormat="1" ht="15" customHeight="1">
      <c r="A120" s="390">
        <f t="shared" si="109"/>
        <v>180000001</v>
      </c>
      <c r="B120" s="414">
        <f>500000000*1.8</f>
        <v>900000000</v>
      </c>
      <c r="C120" s="391">
        <f t="shared" si="113"/>
        <v>11043</v>
      </c>
      <c r="D120" s="413">
        <v>1E-06</v>
      </c>
      <c r="F120" s="512">
        <f t="shared" si="110"/>
        <v>180000001</v>
      </c>
      <c r="G120" s="515">
        <f>500000000*1.8</f>
        <v>900000000</v>
      </c>
      <c r="H120" s="421">
        <f t="shared" si="115"/>
        <v>187304</v>
      </c>
      <c r="I120" s="514">
        <f t="shared" si="100"/>
        <v>8.800000000000001E-05</v>
      </c>
      <c r="J120" s="421">
        <f t="shared" si="116"/>
        <v>848016</v>
      </c>
      <c r="K120" s="403">
        <f t="shared" si="102"/>
        <v>0.000464</v>
      </c>
      <c r="L120" s="468">
        <f t="shared" si="95"/>
        <v>517660</v>
      </c>
      <c r="M120" s="516"/>
      <c r="N120" s="468"/>
      <c r="O120" s="469"/>
      <c r="P120" s="401">
        <f t="shared" si="103"/>
        <v>517660</v>
      </c>
      <c r="Q120" s="401">
        <f t="shared" si="104"/>
        <v>0.8</v>
      </c>
      <c r="R120" s="410">
        <v>0.00011</v>
      </c>
      <c r="S120" s="403">
        <v>0.00058</v>
      </c>
      <c r="T120" s="380"/>
      <c r="U120" s="390">
        <f t="shared" si="111"/>
        <v>100000001</v>
      </c>
      <c r="V120" s="414">
        <f>500000000</f>
        <v>500000000</v>
      </c>
      <c r="W120" s="417">
        <f t="shared" si="112"/>
        <v>96583.33333333333</v>
      </c>
      <c r="X120" s="418">
        <f t="shared" si="105"/>
        <v>9.166666666666667E-05</v>
      </c>
      <c r="Y120" s="419">
        <f t="shared" si="114"/>
        <v>386900.00000000006</v>
      </c>
      <c r="Z120" s="420">
        <f t="shared" si="106"/>
        <v>0.00048333333333333334</v>
      </c>
      <c r="AA120" s="454">
        <f t="shared" si="117"/>
        <v>133250</v>
      </c>
      <c r="AB120" s="454">
        <f t="shared" si="118"/>
        <v>580233.3333333334</v>
      </c>
      <c r="AC120" s="387"/>
      <c r="AD120" s="469"/>
      <c r="AE120" s="401">
        <f t="shared" si="107"/>
        <v>356741.6666666667</v>
      </c>
      <c r="AF120" s="401">
        <f t="shared" si="108"/>
        <v>1.2</v>
      </c>
      <c r="AG120" s="410">
        <v>0.00011</v>
      </c>
      <c r="AH120" s="403">
        <v>0.00058</v>
      </c>
    </row>
    <row r="121" spans="1:34" s="375" customFormat="1" ht="15" customHeight="1">
      <c r="A121" s="390">
        <f t="shared" si="109"/>
        <v>900000001</v>
      </c>
      <c r="B121" s="422"/>
      <c r="C121" s="391"/>
      <c r="D121" s="413">
        <v>1E-06</v>
      </c>
      <c r="F121" s="512">
        <f t="shared" si="110"/>
        <v>900000001</v>
      </c>
      <c r="G121" s="517"/>
      <c r="H121" s="510">
        <f t="shared" si="115"/>
        <v>108103.99999999999</v>
      </c>
      <c r="I121" s="514">
        <f t="shared" si="100"/>
        <v>8.800000000000001E-05</v>
      </c>
      <c r="J121" s="421">
        <f t="shared" si="116"/>
        <v>531216</v>
      </c>
      <c r="K121" s="403">
        <f t="shared" si="102"/>
        <v>0.00035200000000000005</v>
      </c>
      <c r="L121" s="468">
        <f t="shared" si="95"/>
        <v>319660</v>
      </c>
      <c r="M121" s="518"/>
      <c r="N121" s="468"/>
      <c r="O121" s="470"/>
      <c r="Q121" s="401">
        <f t="shared" si="104"/>
        <v>0.8</v>
      </c>
      <c r="R121" s="425">
        <v>0.00011</v>
      </c>
      <c r="S121" s="425">
        <v>0.00044</v>
      </c>
      <c r="T121" s="380"/>
      <c r="U121" s="390">
        <f t="shared" si="111"/>
        <v>500000001</v>
      </c>
      <c r="V121" s="423"/>
      <c r="W121" s="422">
        <f>AA120</f>
        <v>133250</v>
      </c>
      <c r="X121" s="418">
        <f t="shared" si="105"/>
        <v>8.333333333333334E-05</v>
      </c>
      <c r="Y121" s="422">
        <f>AB120</f>
        <v>580233.3333333334</v>
      </c>
      <c r="Z121" s="420">
        <f t="shared" si="106"/>
        <v>3.3333333333333333E-06</v>
      </c>
      <c r="AA121" s="458"/>
      <c r="AB121" s="423"/>
      <c r="AC121" s="387"/>
      <c r="AD121" s="470"/>
      <c r="AF121" s="401">
        <f t="shared" si="108"/>
        <v>1.2</v>
      </c>
      <c r="AG121" s="375">
        <v>0.0001</v>
      </c>
      <c r="AH121" s="425">
        <v>4E-06</v>
      </c>
    </row>
    <row r="122" spans="1:34" s="375" customFormat="1" ht="15" customHeight="1">
      <c r="A122" s="374"/>
      <c r="B122" s="374"/>
      <c r="C122" s="374"/>
      <c r="D122" s="374"/>
      <c r="F122" s="427"/>
      <c r="G122" s="422"/>
      <c r="H122" s="422"/>
      <c r="I122" s="429"/>
      <c r="J122" s="422"/>
      <c r="K122" s="459"/>
      <c r="L122" s="458"/>
      <c r="M122" s="423"/>
      <c r="N122" s="387"/>
      <c r="O122" s="470"/>
      <c r="Q122" s="401"/>
      <c r="S122" s="425"/>
      <c r="T122" s="380"/>
      <c r="U122" s="427"/>
      <c r="V122" s="423"/>
      <c r="W122" s="422"/>
      <c r="X122" s="429"/>
      <c r="Y122" s="422"/>
      <c r="Z122" s="459"/>
      <c r="AA122" s="458"/>
      <c r="AB122" s="423"/>
      <c r="AC122" s="387"/>
      <c r="AD122" s="470"/>
      <c r="AF122" s="401"/>
      <c r="AH122" s="425"/>
    </row>
    <row r="123" spans="6:14" ht="15" customHeight="1">
      <c r="F123" s="407"/>
      <c r="G123" s="452"/>
      <c r="H123" s="376"/>
      <c r="J123" s="377"/>
      <c r="K123" s="377"/>
      <c r="N123" s="374"/>
    </row>
    <row r="124" spans="1:10" ht="15" customHeight="1">
      <c r="A124" s="374" t="s">
        <v>602</v>
      </c>
      <c r="B124" s="471" t="s">
        <v>603</v>
      </c>
      <c r="C124" s="376" t="s">
        <v>536</v>
      </c>
      <c r="D124" s="434" t="s">
        <v>586</v>
      </c>
      <c r="F124" s="679" t="s">
        <v>587</v>
      </c>
      <c r="G124" s="679"/>
      <c r="H124" s="679"/>
      <c r="I124" s="679"/>
      <c r="J124" s="679"/>
    </row>
    <row r="125" spans="1:29" ht="15" customHeight="1">
      <c r="A125" s="436">
        <f aca="true" t="shared" si="119" ref="A125:A131">IF($J$125&gt;=G107+0.01,IF($J$125&lt;=G108,H108,""),"")</f>
      </c>
      <c r="B125" s="439">
        <f aca="true" t="shared" si="120" ref="B125:B131">IF($J$125&gt;=G107+0.01,IF($J$125&lt;=G108,J108,""),"")</f>
      </c>
      <c r="C125" s="472">
        <f>SUM(A125:B125)*0.5</f>
        <v>0</v>
      </c>
      <c r="D125" s="439">
        <f>IF($J$125&gt;=B107+0.01,IF($J$125&lt;=B108,C108+(($J$125-B108)*D108),""),"")</f>
      </c>
      <c r="F125" s="440" t="s">
        <v>609</v>
      </c>
      <c r="J125" s="461">
        <f>G115</f>
        <v>18000000</v>
      </c>
      <c r="M125" s="376"/>
      <c r="N125" s="374"/>
      <c r="AB125" s="376"/>
      <c r="AC125" s="374"/>
    </row>
    <row r="126" spans="1:29" ht="15" customHeight="1">
      <c r="A126" s="436">
        <f t="shared" si="119"/>
      </c>
      <c r="B126" s="439">
        <f t="shared" si="120"/>
      </c>
      <c r="C126" s="472">
        <f aca="true" t="shared" si="121" ref="C126:C131">SUM(A126:B126)*0.5</f>
        <v>0</v>
      </c>
      <c r="D126" s="439">
        <f aca="true" t="shared" si="122" ref="D126:D137">IF($J$125&gt;=B108+0.01,IF($J$125&lt;=B109,C108+(($J$125-B108)*D109),""),"")</f>
      </c>
      <c r="G126" s="441" t="s">
        <v>550</v>
      </c>
      <c r="H126" s="670" t="s">
        <v>611</v>
      </c>
      <c r="I126" s="670"/>
      <c r="J126" s="670"/>
      <c r="M126" s="376"/>
      <c r="N126" s="374"/>
      <c r="AB126" s="376"/>
      <c r="AC126" s="374"/>
    </row>
    <row r="127" spans="1:29" ht="15" customHeight="1">
      <c r="A127" s="436">
        <f t="shared" si="119"/>
      </c>
      <c r="B127" s="439">
        <f t="shared" si="120"/>
      </c>
      <c r="C127" s="472">
        <f t="shared" si="121"/>
        <v>0</v>
      </c>
      <c r="D127" s="439">
        <f t="shared" si="122"/>
      </c>
      <c r="F127" s="442"/>
      <c r="G127" s="441" t="s">
        <v>610</v>
      </c>
      <c r="H127" s="442" t="s">
        <v>604</v>
      </c>
      <c r="I127" s="442" t="s">
        <v>582</v>
      </c>
      <c r="J127" s="475" t="s">
        <v>553</v>
      </c>
      <c r="M127" s="376"/>
      <c r="N127" s="374"/>
      <c r="AB127" s="376"/>
      <c r="AC127" s="374"/>
    </row>
    <row r="128" spans="1:29" ht="15" customHeight="1">
      <c r="A128" s="436">
        <f t="shared" si="119"/>
      </c>
      <c r="B128" s="439">
        <f t="shared" si="120"/>
      </c>
      <c r="C128" s="472">
        <f t="shared" si="121"/>
        <v>0</v>
      </c>
      <c r="D128" s="439">
        <f t="shared" si="122"/>
      </c>
      <c r="F128" s="440" t="s">
        <v>607</v>
      </c>
      <c r="M128" s="376"/>
      <c r="N128" s="374"/>
      <c r="AB128" s="376"/>
      <c r="AC128" s="374"/>
    </row>
    <row r="129" spans="1:29" ht="15" customHeight="1">
      <c r="A129" s="436">
        <f t="shared" si="119"/>
      </c>
      <c r="B129" s="439">
        <f t="shared" si="120"/>
      </c>
      <c r="C129" s="472">
        <f t="shared" si="121"/>
        <v>0</v>
      </c>
      <c r="D129" s="439">
        <f t="shared" si="122"/>
      </c>
      <c r="F129" s="440" t="s">
        <v>545</v>
      </c>
      <c r="G129" s="440">
        <f>SUM(A125:A131)</f>
        <v>0</v>
      </c>
      <c r="H129" s="440">
        <f>G129*1.2</f>
        <v>0</v>
      </c>
      <c r="I129" s="440">
        <f>G129*0.9*2</f>
        <v>0</v>
      </c>
      <c r="J129" s="443">
        <f>SUM(H129:I129)</f>
        <v>0</v>
      </c>
      <c r="M129" s="376"/>
      <c r="N129" s="374"/>
      <c r="AB129" s="376"/>
      <c r="AC129" s="374"/>
    </row>
    <row r="130" spans="1:4" ht="15" customHeight="1">
      <c r="A130" s="436">
        <f t="shared" si="119"/>
      </c>
      <c r="B130" s="439">
        <f t="shared" si="120"/>
      </c>
      <c r="C130" s="472">
        <f t="shared" si="121"/>
        <v>0</v>
      </c>
      <c r="D130" s="439">
        <f t="shared" si="122"/>
      </c>
    </row>
    <row r="131" spans="1:10" ht="15" customHeight="1">
      <c r="A131" s="436">
        <f t="shared" si="119"/>
      </c>
      <c r="B131" s="439">
        <f t="shared" si="120"/>
      </c>
      <c r="C131" s="472">
        <f t="shared" si="121"/>
        <v>0</v>
      </c>
      <c r="D131" s="439">
        <f t="shared" si="122"/>
      </c>
      <c r="F131" s="440" t="s">
        <v>608</v>
      </c>
      <c r="G131" s="444"/>
      <c r="H131" s="444"/>
      <c r="I131" s="444"/>
      <c r="J131" s="445"/>
    </row>
    <row r="132" spans="1:10" ht="15" customHeight="1">
      <c r="A132" s="446">
        <f aca="true" t="shared" si="123" ref="A132:A137">IF($J$125&gt;=G114+0.01,IF($J$125&lt;=G115,H114+(($J$125-G114)*I115),""),"")</f>
        <v>68216</v>
      </c>
      <c r="B132" s="447">
        <f aca="true" t="shared" si="124" ref="B132:B137">IF($J$125&gt;=G114+0.01,IF($J$125&lt;=G115,J114+(($J$125-G114)*K115),""),"")</f>
        <v>277920</v>
      </c>
      <c r="C132" s="448">
        <f>SUM(A132:B132)*0.5</f>
        <v>173068</v>
      </c>
      <c r="D132" s="447">
        <f t="shared" si="122"/>
        <v>5103</v>
      </c>
      <c r="F132" s="434" t="s">
        <v>545</v>
      </c>
      <c r="G132" s="544">
        <f>SUM(A132:A138)</f>
        <v>68216</v>
      </c>
      <c r="H132" s="544">
        <f>G132*1.2</f>
        <v>81859.2</v>
      </c>
      <c r="I132" s="544">
        <f>G132*0.9*2</f>
        <v>122788.8</v>
      </c>
      <c r="J132" s="542">
        <f>H132+I132</f>
        <v>204648</v>
      </c>
    </row>
    <row r="133" spans="1:10" ht="15" customHeight="1">
      <c r="A133" s="446">
        <f t="shared" si="123"/>
      </c>
      <c r="B133" s="447">
        <f t="shared" si="124"/>
      </c>
      <c r="C133" s="448">
        <f aca="true" t="shared" si="125" ref="C133:C138">SUM(A133:B133)*0.5</f>
        <v>0</v>
      </c>
      <c r="D133" s="447">
        <f t="shared" si="122"/>
      </c>
      <c r="F133" s="434" t="s">
        <v>536</v>
      </c>
      <c r="G133" s="544">
        <f>SUM(C132:C138)</f>
        <v>173068</v>
      </c>
      <c r="H133" s="544">
        <f>G133*1.2</f>
        <v>207681.6</v>
      </c>
      <c r="I133" s="544">
        <f>G133*0.9*2</f>
        <v>311522.4</v>
      </c>
      <c r="J133" s="542">
        <f>H133+I133</f>
        <v>519204</v>
      </c>
    </row>
    <row r="134" spans="1:10" ht="15" customHeight="1">
      <c r="A134" s="446">
        <f t="shared" si="123"/>
      </c>
      <c r="B134" s="447">
        <f t="shared" si="124"/>
      </c>
      <c r="C134" s="448">
        <f t="shared" si="125"/>
        <v>0</v>
      </c>
      <c r="D134" s="447">
        <f t="shared" si="122"/>
      </c>
      <c r="F134" s="434" t="s">
        <v>539</v>
      </c>
      <c r="G134" s="544">
        <f>SUM(B132:B138)</f>
        <v>277920</v>
      </c>
      <c r="H134" s="544">
        <f>G134*1.2</f>
        <v>333504</v>
      </c>
      <c r="I134" s="544">
        <f>G134*0.9*2</f>
        <v>500256</v>
      </c>
      <c r="J134" s="542">
        <f>H134+I134</f>
        <v>833760</v>
      </c>
    </row>
    <row r="135" spans="1:10" ht="15" customHeight="1">
      <c r="A135" s="446">
        <f t="shared" si="123"/>
      </c>
      <c r="B135" s="447">
        <f t="shared" si="124"/>
      </c>
      <c r="C135" s="448">
        <f t="shared" si="125"/>
        <v>0</v>
      </c>
      <c r="D135" s="447">
        <f t="shared" si="122"/>
      </c>
      <c r="J135" s="449"/>
    </row>
    <row r="136" spans="1:10" ht="15" customHeight="1">
      <c r="A136" s="446">
        <f t="shared" si="123"/>
      </c>
      <c r="B136" s="447">
        <f t="shared" si="124"/>
      </c>
      <c r="C136" s="448">
        <f t="shared" si="125"/>
        <v>0</v>
      </c>
      <c r="D136" s="447">
        <f t="shared" si="122"/>
      </c>
      <c r="F136" s="434" t="s">
        <v>586</v>
      </c>
      <c r="G136" s="381">
        <v>24</v>
      </c>
      <c r="H136" s="381" t="s">
        <v>606</v>
      </c>
      <c r="I136" s="381"/>
      <c r="J136" s="440">
        <f>SUM(D125:D138)*G136</f>
        <v>122472</v>
      </c>
    </row>
    <row r="137" spans="1:10" ht="15" customHeight="1">
      <c r="A137" s="446">
        <f t="shared" si="123"/>
      </c>
      <c r="B137" s="447">
        <f t="shared" si="124"/>
      </c>
      <c r="C137" s="448">
        <f t="shared" si="125"/>
        <v>0</v>
      </c>
      <c r="D137" s="447">
        <f t="shared" si="122"/>
      </c>
      <c r="J137" s="449"/>
    </row>
    <row r="138" spans="1:5" ht="15" customHeight="1">
      <c r="A138" s="446">
        <f>IF($J$125&gt;=G120+0.01,H120+(($J$125-G120)*I121),"")</f>
      </c>
      <c r="B138" s="447">
        <f>IF($J$125&gt;=G120+0.01,J120+(($J$125-G120)*K121),"")</f>
      </c>
      <c r="C138" s="448">
        <f t="shared" si="125"/>
        <v>0</v>
      </c>
      <c r="D138" s="447">
        <f>IF($J$125&gt;=B120+0.01,C120+(($J$125-B120)*D121),"")</f>
      </c>
      <c r="E138" s="462"/>
    </row>
    <row r="140" spans="10:29" ht="15" customHeight="1" thickBot="1">
      <c r="J140" s="430"/>
      <c r="K140" s="528">
        <v>0</v>
      </c>
      <c r="L140" s="519"/>
      <c r="M140" s="519"/>
      <c r="N140" s="519"/>
      <c r="O140" s="519"/>
      <c r="P140" s="519"/>
      <c r="Q140" s="520"/>
      <c r="AC140" s="374"/>
    </row>
    <row r="141" spans="1:29" ht="15" customHeight="1">
      <c r="A141" s="476" t="s">
        <v>594</v>
      </c>
      <c r="B141" s="477">
        <v>1.8</v>
      </c>
      <c r="C141" s="478"/>
      <c r="D141" s="479"/>
      <c r="F141" s="479"/>
      <c r="G141" s="479"/>
      <c r="H141" s="479"/>
      <c r="I141" s="480"/>
      <c r="J141" s="430"/>
      <c r="K141" s="534">
        <f aca="true" t="shared" si="126" ref="K141:K146">H13</f>
        <v>70520</v>
      </c>
      <c r="L141" s="430">
        <f aca="true" t="shared" si="127" ref="L141:L146">J13</f>
        <v>279550</v>
      </c>
      <c r="M141" s="430">
        <f aca="true" t="shared" si="128" ref="M141:M146">(K141+L141)/2</f>
        <v>175035</v>
      </c>
      <c r="N141" s="374"/>
      <c r="Q141" s="521"/>
      <c r="AC141" s="374"/>
    </row>
    <row r="142" spans="1:29" ht="15" customHeight="1">
      <c r="A142" s="481" t="s">
        <v>596</v>
      </c>
      <c r="B142" s="482" t="s">
        <v>551</v>
      </c>
      <c r="C142" s="483"/>
      <c r="D142" s="483"/>
      <c r="F142" s="483"/>
      <c r="G142" s="483"/>
      <c r="H142" s="483"/>
      <c r="I142" s="484"/>
      <c r="J142" s="430"/>
      <c r="K142" s="534">
        <f t="shared" si="126"/>
        <v>93560</v>
      </c>
      <c r="L142" s="430">
        <f t="shared" si="127"/>
        <v>366310</v>
      </c>
      <c r="M142" s="430">
        <f t="shared" si="128"/>
        <v>229935</v>
      </c>
      <c r="N142" s="374"/>
      <c r="Q142" s="521"/>
      <c r="AC142" s="374"/>
    </row>
    <row r="143" spans="1:29" ht="15" customHeight="1">
      <c r="A143" s="485" t="s">
        <v>540</v>
      </c>
      <c r="B143" s="486"/>
      <c r="C143" s="486" t="s">
        <v>538</v>
      </c>
      <c r="D143" s="486"/>
      <c r="F143" s="486" t="s">
        <v>539</v>
      </c>
      <c r="G143" s="486"/>
      <c r="H143" s="487" t="s">
        <v>538</v>
      </c>
      <c r="I143" s="488" t="s">
        <v>539</v>
      </c>
      <c r="J143" s="430"/>
      <c r="K143" s="534">
        <f t="shared" si="126"/>
        <v>114800</v>
      </c>
      <c r="L143" s="430">
        <f t="shared" si="127"/>
        <v>448390</v>
      </c>
      <c r="M143" s="430">
        <f t="shared" si="128"/>
        <v>281595</v>
      </c>
      <c r="N143" s="374"/>
      <c r="Q143" s="521"/>
      <c r="AC143" s="374"/>
    </row>
    <row r="144" spans="1:29" ht="15" customHeight="1">
      <c r="A144" s="485"/>
      <c r="B144" s="489">
        <v>50000</v>
      </c>
      <c r="C144" s="489">
        <v>3000</v>
      </c>
      <c r="D144" s="490">
        <v>0.06</v>
      </c>
      <c r="F144" s="491">
        <f>G144*B144</f>
        <v>9010</v>
      </c>
      <c r="G144" s="492">
        <f>18.02%</f>
        <v>0.1802</v>
      </c>
      <c r="H144" s="491">
        <f>(B144)*D144</f>
        <v>3000</v>
      </c>
      <c r="I144" s="493">
        <f>G144*B144</f>
        <v>9010</v>
      </c>
      <c r="J144" s="430"/>
      <c r="K144" s="534">
        <f t="shared" si="126"/>
        <v>132620</v>
      </c>
      <c r="L144" s="430">
        <f t="shared" si="127"/>
        <v>533170</v>
      </c>
      <c r="M144" s="430">
        <f t="shared" si="128"/>
        <v>332895</v>
      </c>
      <c r="N144" s="374"/>
      <c r="Q144" s="521"/>
      <c r="AC144" s="374"/>
    </row>
    <row r="145" spans="1:29" ht="15" customHeight="1">
      <c r="A145" s="494">
        <v>50001</v>
      </c>
      <c r="B145" s="489">
        <v>100000</v>
      </c>
      <c r="C145" s="489">
        <v>3000</v>
      </c>
      <c r="D145" s="495">
        <v>0.0265</v>
      </c>
      <c r="F145" s="489">
        <f>I144</f>
        <v>9010</v>
      </c>
      <c r="G145" s="492">
        <v>0.13568</v>
      </c>
      <c r="H145" s="491">
        <f>((B145-B144)*D145)+C145</f>
        <v>4325</v>
      </c>
      <c r="I145" s="496">
        <f>((B145-B144)*G145)+F145</f>
        <v>15794</v>
      </c>
      <c r="J145" s="430"/>
      <c r="K145" s="534">
        <f t="shared" si="126"/>
        <v>140180</v>
      </c>
      <c r="L145" s="430">
        <f t="shared" si="127"/>
        <v>574570</v>
      </c>
      <c r="M145" s="430">
        <f t="shared" si="128"/>
        <v>357375</v>
      </c>
      <c r="N145" s="374"/>
      <c r="Q145" s="521"/>
      <c r="AC145" s="374"/>
    </row>
    <row r="146" spans="1:29" ht="15" customHeight="1">
      <c r="A146" s="494">
        <v>100001</v>
      </c>
      <c r="B146" s="489">
        <v>200000</v>
      </c>
      <c r="C146" s="489">
        <f aca="true" t="shared" si="129" ref="C146:C156">H145</f>
        <v>4325</v>
      </c>
      <c r="D146" s="495">
        <v>0.01431</v>
      </c>
      <c r="F146" s="489">
        <f>I145</f>
        <v>15794</v>
      </c>
      <c r="G146" s="492">
        <v>0.07685</v>
      </c>
      <c r="H146" s="491">
        <f aca="true" t="shared" si="130" ref="H146:H155">((B146-B145)*D146)+C146</f>
        <v>5756</v>
      </c>
      <c r="I146" s="496">
        <f aca="true" t="shared" si="131" ref="I146:I156">((B146-B145)*G146)+F146</f>
        <v>23479</v>
      </c>
      <c r="J146" s="430"/>
      <c r="K146" s="535">
        <f t="shared" si="126"/>
        <v>219380</v>
      </c>
      <c r="L146" s="523">
        <f t="shared" si="127"/>
        <v>992170</v>
      </c>
      <c r="M146" s="523">
        <f t="shared" si="128"/>
        <v>605775</v>
      </c>
      <c r="N146" s="524"/>
      <c r="O146" s="524"/>
      <c r="P146" s="524"/>
      <c r="Q146" s="525"/>
      <c r="AC146" s="374"/>
    </row>
    <row r="147" spans="1:29" ht="15" customHeight="1">
      <c r="A147" s="494">
        <v>200001</v>
      </c>
      <c r="B147" s="489">
        <v>500000</v>
      </c>
      <c r="C147" s="489">
        <f t="shared" si="129"/>
        <v>5756</v>
      </c>
      <c r="D147" s="495">
        <v>0.01367</v>
      </c>
      <c r="F147" s="489">
        <f aca="true" t="shared" si="132" ref="F147:F156">I146</f>
        <v>23479</v>
      </c>
      <c r="G147" s="492">
        <v>0.06837</v>
      </c>
      <c r="H147" s="491">
        <f t="shared" si="130"/>
        <v>9857</v>
      </c>
      <c r="I147" s="496">
        <f t="shared" si="131"/>
        <v>43990</v>
      </c>
      <c r="J147" s="430"/>
      <c r="K147" s="450"/>
      <c r="N147" s="374"/>
      <c r="AC147" s="374"/>
    </row>
    <row r="148" spans="1:29" ht="15" customHeight="1">
      <c r="A148" s="494">
        <v>500001</v>
      </c>
      <c r="B148" s="489">
        <v>1000000</v>
      </c>
      <c r="C148" s="489">
        <f t="shared" si="129"/>
        <v>9857</v>
      </c>
      <c r="D148" s="495">
        <v>0.00954</v>
      </c>
      <c r="F148" s="489">
        <f t="shared" si="132"/>
        <v>43990</v>
      </c>
      <c r="G148" s="492">
        <v>0.04028</v>
      </c>
      <c r="H148" s="491">
        <f>((B148-B147)*D148)+C148</f>
        <v>14627</v>
      </c>
      <c r="I148" s="496">
        <f t="shared" si="131"/>
        <v>64130</v>
      </c>
      <c r="K148" s="528">
        <v>0.3</v>
      </c>
      <c r="L148" s="519"/>
      <c r="M148" s="519"/>
      <c r="N148" s="519"/>
      <c r="O148" s="519"/>
      <c r="P148" s="519"/>
      <c r="Q148" s="520"/>
      <c r="Y148" s="449"/>
      <c r="AC148" s="374"/>
    </row>
    <row r="149" spans="1:25" ht="15" customHeight="1">
      <c r="A149" s="494">
        <v>1000001</v>
      </c>
      <c r="B149" s="489">
        <v>2000000</v>
      </c>
      <c r="C149" s="489">
        <f t="shared" si="129"/>
        <v>14627</v>
      </c>
      <c r="D149" s="495">
        <v>0.00689</v>
      </c>
      <c r="F149" s="489">
        <f t="shared" si="132"/>
        <v>64130</v>
      </c>
      <c r="G149" s="492">
        <v>0.03604</v>
      </c>
      <c r="H149" s="491">
        <f t="shared" si="130"/>
        <v>21517</v>
      </c>
      <c r="I149" s="496">
        <f t="shared" si="131"/>
        <v>100170</v>
      </c>
      <c r="K149" s="411">
        <f aca="true" t="shared" si="133" ref="K149:K154">H47</f>
        <v>67064</v>
      </c>
      <c r="L149" s="430">
        <f aca="true" t="shared" si="134" ref="L149:L154">J47</f>
        <v>254980</v>
      </c>
      <c r="M149" s="430">
        <f aca="true" t="shared" si="135" ref="M149:M154">(K149+L149)/2</f>
        <v>161022</v>
      </c>
      <c r="N149" s="530">
        <f aca="true" t="shared" si="136" ref="N149:N154">K149/K141</f>
        <v>0.9509926262053319</v>
      </c>
      <c r="P149" s="502">
        <f aca="true" t="shared" si="137" ref="P149:Q154">L149/L141</f>
        <v>0.9121087461992488</v>
      </c>
      <c r="Q149" s="529">
        <f t="shared" si="137"/>
        <v>0.9199417259405261</v>
      </c>
      <c r="Y149" s="449"/>
    </row>
    <row r="150" spans="1:25" ht="15" customHeight="1">
      <c r="A150" s="494">
        <v>2000001</v>
      </c>
      <c r="B150" s="489">
        <v>5000000</v>
      </c>
      <c r="C150" s="489">
        <f t="shared" si="129"/>
        <v>21517</v>
      </c>
      <c r="D150" s="495">
        <v>0.00375</v>
      </c>
      <c r="F150" s="489">
        <f t="shared" si="132"/>
        <v>100170</v>
      </c>
      <c r="G150" s="492">
        <v>0.01391</v>
      </c>
      <c r="H150" s="491">
        <f t="shared" si="130"/>
        <v>32767</v>
      </c>
      <c r="I150" s="496">
        <f t="shared" si="131"/>
        <v>141900</v>
      </c>
      <c r="K150" s="411">
        <f t="shared" si="133"/>
        <v>83192</v>
      </c>
      <c r="L150" s="430">
        <f t="shared" si="134"/>
        <v>315712</v>
      </c>
      <c r="M150" s="430">
        <f t="shared" si="135"/>
        <v>199452</v>
      </c>
      <c r="N150" s="530">
        <f t="shared" si="136"/>
        <v>0.8891834117144078</v>
      </c>
      <c r="P150" s="502">
        <f t="shared" si="137"/>
        <v>0.8618710927902596</v>
      </c>
      <c r="Q150" s="529">
        <f t="shared" si="137"/>
        <v>0.8674277513210255</v>
      </c>
      <c r="Y150" s="449"/>
    </row>
    <row r="151" spans="1:25" ht="15" customHeight="1">
      <c r="A151" s="494">
        <v>5000001</v>
      </c>
      <c r="B151" s="489">
        <v>10000000</v>
      </c>
      <c r="C151" s="489">
        <f t="shared" si="129"/>
        <v>32767</v>
      </c>
      <c r="D151" s="495">
        <v>0.00128</v>
      </c>
      <c r="F151" s="489">
        <f t="shared" si="132"/>
        <v>141900</v>
      </c>
      <c r="G151" s="492">
        <v>0.0091</v>
      </c>
      <c r="H151" s="491">
        <f t="shared" si="130"/>
        <v>39167</v>
      </c>
      <c r="I151" s="496">
        <f t="shared" si="131"/>
        <v>187400</v>
      </c>
      <c r="K151" s="411">
        <f t="shared" si="133"/>
        <v>98060</v>
      </c>
      <c r="L151" s="430">
        <f t="shared" si="134"/>
        <v>373168</v>
      </c>
      <c r="M151" s="430">
        <f t="shared" si="135"/>
        <v>235614</v>
      </c>
      <c r="N151" s="530">
        <f t="shared" si="136"/>
        <v>0.8541811846689895</v>
      </c>
      <c r="P151" s="502">
        <f t="shared" si="137"/>
        <v>0.8322397912531502</v>
      </c>
      <c r="Q151" s="529">
        <f t="shared" si="137"/>
        <v>0.8367122995791829</v>
      </c>
      <c r="Y151" s="449"/>
    </row>
    <row r="152" spans="1:25" ht="15" customHeight="1">
      <c r="A152" s="494">
        <v>10000001</v>
      </c>
      <c r="B152" s="489">
        <v>30000000</v>
      </c>
      <c r="C152" s="489">
        <f t="shared" si="129"/>
        <v>39167</v>
      </c>
      <c r="D152" s="495">
        <v>0.00064</v>
      </c>
      <c r="F152" s="489">
        <f t="shared" si="132"/>
        <v>187400</v>
      </c>
      <c r="G152" s="492">
        <v>0.00241</v>
      </c>
      <c r="H152" s="491">
        <f t="shared" si="130"/>
        <v>51967</v>
      </c>
      <c r="I152" s="496">
        <f t="shared" si="131"/>
        <v>235600</v>
      </c>
      <c r="K152" s="411">
        <f t="shared" si="133"/>
        <v>110534</v>
      </c>
      <c r="L152" s="430">
        <f t="shared" si="134"/>
        <v>432514</v>
      </c>
      <c r="M152" s="430">
        <f t="shared" si="135"/>
        <v>271524</v>
      </c>
      <c r="N152" s="530">
        <f t="shared" si="136"/>
        <v>0.8334640325742724</v>
      </c>
      <c r="P152" s="502">
        <f t="shared" si="137"/>
        <v>0.8112121837312677</v>
      </c>
      <c r="Q152" s="529">
        <f t="shared" si="137"/>
        <v>0.8156445726129861</v>
      </c>
      <c r="Y152" s="449"/>
    </row>
    <row r="153" spans="1:25" ht="15" customHeight="1">
      <c r="A153" s="494">
        <v>30000001</v>
      </c>
      <c r="B153" s="489">
        <v>50000000</v>
      </c>
      <c r="C153" s="489">
        <f t="shared" si="129"/>
        <v>51967</v>
      </c>
      <c r="D153" s="495">
        <v>0.00059</v>
      </c>
      <c r="F153" s="489">
        <f t="shared" si="132"/>
        <v>235600</v>
      </c>
      <c r="G153" s="492">
        <v>0.00228</v>
      </c>
      <c r="H153" s="491">
        <f t="shared" si="130"/>
        <v>63767</v>
      </c>
      <c r="I153" s="496">
        <f t="shared" si="131"/>
        <v>281200</v>
      </c>
      <c r="K153" s="411">
        <f t="shared" si="133"/>
        <v>115826</v>
      </c>
      <c r="L153" s="430">
        <f t="shared" si="134"/>
        <v>461494</v>
      </c>
      <c r="M153" s="430">
        <f t="shared" si="135"/>
        <v>288660</v>
      </c>
      <c r="N153" s="530">
        <f t="shared" si="136"/>
        <v>0.8262662291339706</v>
      </c>
      <c r="P153" s="502">
        <f t="shared" si="137"/>
        <v>0.8031989139704475</v>
      </c>
      <c r="Q153" s="529">
        <f t="shared" si="137"/>
        <v>0.8077229800629591</v>
      </c>
      <c r="Y153" s="449"/>
    </row>
    <row r="154" spans="1:25" ht="15" customHeight="1">
      <c r="A154" s="494">
        <v>50000001</v>
      </c>
      <c r="B154" s="489">
        <v>80000000</v>
      </c>
      <c r="C154" s="489">
        <f t="shared" si="129"/>
        <v>63767</v>
      </c>
      <c r="D154" s="495">
        <v>0.00033</v>
      </c>
      <c r="F154" s="489">
        <f t="shared" si="132"/>
        <v>281200</v>
      </c>
      <c r="G154" s="492">
        <v>0.00157</v>
      </c>
      <c r="H154" s="491">
        <f t="shared" si="130"/>
        <v>73667</v>
      </c>
      <c r="I154" s="496">
        <f t="shared" si="131"/>
        <v>328300</v>
      </c>
      <c r="K154" s="522">
        <f t="shared" si="133"/>
        <v>171266</v>
      </c>
      <c r="L154" s="523">
        <f t="shared" si="134"/>
        <v>753814</v>
      </c>
      <c r="M154" s="523">
        <f t="shared" si="135"/>
        <v>462540</v>
      </c>
      <c r="N154" s="531">
        <f t="shared" si="136"/>
        <v>0.7806819217795605</v>
      </c>
      <c r="O154" s="524"/>
      <c r="P154" s="532">
        <f t="shared" si="137"/>
        <v>0.7597629438503483</v>
      </c>
      <c r="Q154" s="533">
        <f t="shared" si="137"/>
        <v>0.7635508233254922</v>
      </c>
      <c r="Y154" s="449"/>
    </row>
    <row r="155" spans="1:25" ht="15" customHeight="1">
      <c r="A155" s="494">
        <v>80000001</v>
      </c>
      <c r="B155" s="489">
        <v>100000000</v>
      </c>
      <c r="C155" s="489">
        <f t="shared" si="129"/>
        <v>73667</v>
      </c>
      <c r="D155" s="495">
        <v>0.00021</v>
      </c>
      <c r="F155" s="489">
        <f t="shared" si="132"/>
        <v>328300</v>
      </c>
      <c r="G155" s="492">
        <v>0.00115</v>
      </c>
      <c r="H155" s="491">
        <f t="shared" si="130"/>
        <v>77867</v>
      </c>
      <c r="I155" s="496">
        <f t="shared" si="131"/>
        <v>351300</v>
      </c>
      <c r="K155" s="430"/>
      <c r="L155" s="430"/>
      <c r="M155" s="430"/>
      <c r="Y155" s="449"/>
    </row>
    <row r="156" spans="1:25" ht="15" customHeight="1">
      <c r="A156" s="494">
        <v>100000001</v>
      </c>
      <c r="B156" s="489">
        <v>500000000</v>
      </c>
      <c r="C156" s="489">
        <f t="shared" si="129"/>
        <v>77867</v>
      </c>
      <c r="D156" s="495">
        <v>0.00011</v>
      </c>
      <c r="F156" s="489">
        <f t="shared" si="132"/>
        <v>351300</v>
      </c>
      <c r="G156" s="492">
        <v>0.00058</v>
      </c>
      <c r="H156" s="491">
        <f>((B156-B155)*D156)+C156</f>
        <v>121867</v>
      </c>
      <c r="I156" s="496">
        <f t="shared" si="131"/>
        <v>583300</v>
      </c>
      <c r="K156" s="527">
        <v>0.25</v>
      </c>
      <c r="L156" s="519"/>
      <c r="M156" s="519"/>
      <c r="N156" s="526"/>
      <c r="O156" s="519"/>
      <c r="P156" s="519"/>
      <c r="Q156" s="520"/>
      <c r="Y156" s="449"/>
    </row>
    <row r="157" spans="1:25" ht="15" customHeight="1" thickBot="1">
      <c r="A157" s="497" t="s">
        <v>537</v>
      </c>
      <c r="B157" s="498"/>
      <c r="C157" s="499">
        <f>H156</f>
        <v>121867</v>
      </c>
      <c r="D157" s="498">
        <v>0.0001</v>
      </c>
      <c r="F157" s="499">
        <f>I156</f>
        <v>583300</v>
      </c>
      <c r="G157" s="492">
        <v>4E-06</v>
      </c>
      <c r="H157" s="500"/>
      <c r="I157" s="501"/>
      <c r="K157" s="411">
        <f aca="true" t="shared" si="138" ref="K157:K162">H81</f>
        <v>67640</v>
      </c>
      <c r="L157" s="430">
        <f aca="true" t="shared" si="139" ref="L157:L162">J81</f>
        <v>265565</v>
      </c>
      <c r="M157" s="430">
        <f aca="true" t="shared" si="140" ref="M157:M162">(K157+L157)/2</f>
        <v>166602.5</v>
      </c>
      <c r="N157" s="530">
        <f aca="true" t="shared" si="141" ref="N157:N162">K157/K141</f>
        <v>0.9591605218377766</v>
      </c>
      <c r="P157" s="502">
        <f aca="true" t="shared" si="142" ref="P157:Q162">L157/L141</f>
        <v>0.9499731711679484</v>
      </c>
      <c r="Q157" s="529">
        <f t="shared" si="142"/>
        <v>0.9518239209300997</v>
      </c>
      <c r="Y157" s="449"/>
    </row>
    <row r="158" spans="11:25" ht="15" customHeight="1">
      <c r="K158" s="411">
        <f t="shared" si="138"/>
        <v>84920</v>
      </c>
      <c r="L158" s="430">
        <f t="shared" si="139"/>
        <v>330635</v>
      </c>
      <c r="M158" s="430">
        <f t="shared" si="140"/>
        <v>207777.5</v>
      </c>
      <c r="N158" s="530">
        <f t="shared" si="141"/>
        <v>0.9076528430953399</v>
      </c>
      <c r="P158" s="502">
        <f t="shared" si="142"/>
        <v>0.9026098113619612</v>
      </c>
      <c r="Q158" s="529">
        <f t="shared" si="142"/>
        <v>0.9036358101202514</v>
      </c>
      <c r="Y158" s="449"/>
    </row>
    <row r="159" spans="7:25" ht="15" customHeight="1">
      <c r="G159" s="375"/>
      <c r="K159" s="411">
        <f t="shared" si="138"/>
        <v>100850</v>
      </c>
      <c r="L159" s="430">
        <f t="shared" si="139"/>
        <v>392195</v>
      </c>
      <c r="M159" s="430">
        <f t="shared" si="140"/>
        <v>246522.5</v>
      </c>
      <c r="N159" s="530">
        <f t="shared" si="141"/>
        <v>0.8784843205574913</v>
      </c>
      <c r="P159" s="502">
        <f t="shared" si="142"/>
        <v>0.8746738330471242</v>
      </c>
      <c r="Q159" s="529">
        <f t="shared" si="142"/>
        <v>0.8754505584261084</v>
      </c>
      <c r="Y159" s="449"/>
    </row>
    <row r="160" spans="1:25" ht="15" customHeight="1">
      <c r="A160" s="374" t="s">
        <v>542</v>
      </c>
      <c r="K160" s="411">
        <f t="shared" si="138"/>
        <v>114215</v>
      </c>
      <c r="L160" s="430">
        <f t="shared" si="139"/>
        <v>455780</v>
      </c>
      <c r="M160" s="430">
        <f t="shared" si="140"/>
        <v>284997.5</v>
      </c>
      <c r="N160" s="530">
        <f t="shared" si="141"/>
        <v>0.8612200271452269</v>
      </c>
      <c r="P160" s="502">
        <f t="shared" si="142"/>
        <v>0.8548492975973891</v>
      </c>
      <c r="Q160" s="529">
        <f t="shared" si="142"/>
        <v>0.8561182955586596</v>
      </c>
      <c r="U160"/>
      <c r="V160"/>
      <c r="X160" s="502"/>
      <c r="Y160" s="449"/>
    </row>
    <row r="161" spans="1:17" ht="15" customHeight="1">
      <c r="A161" s="381"/>
      <c r="B161" s="391">
        <f>50000</f>
        <v>50000</v>
      </c>
      <c r="C161" s="391">
        <v>3000</v>
      </c>
      <c r="D161" s="434"/>
      <c r="K161" s="411">
        <f t="shared" si="138"/>
        <v>119885</v>
      </c>
      <c r="L161" s="430">
        <f t="shared" si="139"/>
        <v>486830</v>
      </c>
      <c r="M161" s="430">
        <f t="shared" si="140"/>
        <v>303357.5</v>
      </c>
      <c r="N161" s="530">
        <f t="shared" si="141"/>
        <v>0.8552218576116422</v>
      </c>
      <c r="P161" s="502">
        <f t="shared" si="142"/>
        <v>0.8472944984945263</v>
      </c>
      <c r="Q161" s="529">
        <f t="shared" si="142"/>
        <v>0.8488492479888072</v>
      </c>
    </row>
    <row r="162" spans="1:17" ht="15" customHeight="1">
      <c r="A162" s="391">
        <f>B161+1</f>
        <v>50001</v>
      </c>
      <c r="B162" s="391">
        <f>100000</f>
        <v>100000</v>
      </c>
      <c r="C162" s="503">
        <v>0.0473</v>
      </c>
      <c r="D162" s="391">
        <f>C161+(B162-B161)*C162</f>
        <v>5365</v>
      </c>
      <c r="K162" s="522">
        <f t="shared" si="138"/>
        <v>179285</v>
      </c>
      <c r="L162" s="523">
        <f t="shared" si="139"/>
        <v>800030</v>
      </c>
      <c r="M162" s="523">
        <f t="shared" si="140"/>
        <v>489657.5</v>
      </c>
      <c r="N162" s="531">
        <f t="shared" si="141"/>
        <v>0.8172349348163005</v>
      </c>
      <c r="O162" s="524"/>
      <c r="P162" s="532">
        <f t="shared" si="142"/>
        <v>0.8063436709434875</v>
      </c>
      <c r="Q162" s="533">
        <f t="shared" si="142"/>
        <v>0.8083157938178367</v>
      </c>
    </row>
    <row r="163" spans="1:4" ht="15" customHeight="1">
      <c r="A163" s="391">
        <f aca="true" t="shared" si="143" ref="A163:A173">B162+1</f>
        <v>100001</v>
      </c>
      <c r="B163" s="391">
        <f>200000</f>
        <v>200000</v>
      </c>
      <c r="C163" s="503">
        <v>0.0253</v>
      </c>
      <c r="D163" s="391">
        <f aca="true" t="shared" si="144" ref="D163:D172">D162+(B163-B162)*C163</f>
        <v>7895</v>
      </c>
    </row>
    <row r="164" spans="1:17" ht="15" customHeight="1">
      <c r="A164" s="391">
        <f t="shared" si="143"/>
        <v>200001</v>
      </c>
      <c r="B164" s="391">
        <f>500000</f>
        <v>500000</v>
      </c>
      <c r="C164" s="503">
        <v>0.0209</v>
      </c>
      <c r="D164" s="391">
        <f t="shared" si="144"/>
        <v>14165</v>
      </c>
      <c r="K164" s="527">
        <v>0.2</v>
      </c>
      <c r="L164" s="519"/>
      <c r="M164" s="519"/>
      <c r="N164" s="526"/>
      <c r="O164" s="519"/>
      <c r="P164" s="519"/>
      <c r="Q164" s="520"/>
    </row>
    <row r="165" spans="1:17" ht="15" customHeight="1">
      <c r="A165" s="391">
        <f t="shared" si="143"/>
        <v>500001</v>
      </c>
      <c r="B165" s="391">
        <f>1000000</f>
        <v>1000000</v>
      </c>
      <c r="C165" s="503">
        <v>0.0151</v>
      </c>
      <c r="D165" s="391">
        <f t="shared" si="144"/>
        <v>21715</v>
      </c>
      <c r="K165" s="411">
        <f aca="true" t="shared" si="145" ref="K165:K170">H115</f>
        <v>68216</v>
      </c>
      <c r="L165" s="430">
        <f aca="true" t="shared" si="146" ref="L165:L170">J115</f>
        <v>277920</v>
      </c>
      <c r="M165" s="430">
        <f aca="true" t="shared" si="147" ref="M165:M170">(K165+L165)/2</f>
        <v>173068</v>
      </c>
      <c r="N165" s="530">
        <f aca="true" t="shared" si="148" ref="N165:N170">K165/K141</f>
        <v>0.9673284174702212</v>
      </c>
      <c r="P165" s="502">
        <f aca="true" t="shared" si="149" ref="P165:Q170">L165/L141</f>
        <v>0.9941692005008048</v>
      </c>
      <c r="Q165" s="529">
        <f t="shared" si="149"/>
        <v>0.9887622475504899</v>
      </c>
    </row>
    <row r="166" spans="1:17" ht="15" customHeight="1">
      <c r="A166" s="391">
        <f t="shared" si="143"/>
        <v>1000001</v>
      </c>
      <c r="B166" s="391">
        <f>2000000</f>
        <v>2000000</v>
      </c>
      <c r="C166" s="503">
        <v>0.0095</v>
      </c>
      <c r="D166" s="391">
        <f t="shared" si="144"/>
        <v>31215</v>
      </c>
      <c r="K166" s="411">
        <f t="shared" si="145"/>
        <v>86648</v>
      </c>
      <c r="L166" s="430">
        <f t="shared" si="146"/>
        <v>347328</v>
      </c>
      <c r="M166" s="430">
        <f t="shared" si="147"/>
        <v>216988</v>
      </c>
      <c r="N166" s="530">
        <f t="shared" si="148"/>
        <v>0.9261222744762719</v>
      </c>
      <c r="P166" s="502">
        <f t="shared" si="149"/>
        <v>0.948180502852775</v>
      </c>
      <c r="Q166" s="529">
        <f t="shared" si="149"/>
        <v>0.9436927827429491</v>
      </c>
    </row>
    <row r="167" spans="1:17" ht="15" customHeight="1">
      <c r="A167" s="391">
        <f t="shared" si="143"/>
        <v>2000001</v>
      </c>
      <c r="B167" s="391">
        <f>5000000</f>
        <v>5000000</v>
      </c>
      <c r="C167" s="503">
        <v>0.0046</v>
      </c>
      <c r="D167" s="391">
        <f t="shared" si="144"/>
        <v>45015</v>
      </c>
      <c r="K167" s="411">
        <f t="shared" si="145"/>
        <v>103640</v>
      </c>
      <c r="L167" s="430">
        <f t="shared" si="146"/>
        <v>412992</v>
      </c>
      <c r="M167" s="430">
        <f t="shared" si="147"/>
        <v>258316</v>
      </c>
      <c r="N167" s="530">
        <f t="shared" si="148"/>
        <v>0.902787456445993</v>
      </c>
      <c r="P167" s="502">
        <f t="shared" si="149"/>
        <v>0.921055331296416</v>
      </c>
      <c r="Q167" s="529">
        <f t="shared" si="149"/>
        <v>0.9173316287576129</v>
      </c>
    </row>
    <row r="168" spans="1:17" ht="15" customHeight="1">
      <c r="A168" s="391">
        <f t="shared" si="143"/>
        <v>5000001</v>
      </c>
      <c r="B168" s="504">
        <f>10000000</f>
        <v>10000000</v>
      </c>
      <c r="C168" s="503">
        <v>0.0025</v>
      </c>
      <c r="D168" s="391">
        <f t="shared" si="144"/>
        <v>57515</v>
      </c>
      <c r="K168" s="411">
        <f t="shared" si="145"/>
        <v>117896</v>
      </c>
      <c r="L168" s="430">
        <f t="shared" si="146"/>
        <v>480816</v>
      </c>
      <c r="M168" s="430">
        <f t="shared" si="147"/>
        <v>299356</v>
      </c>
      <c r="N168" s="530">
        <f t="shared" si="148"/>
        <v>0.8889760217161816</v>
      </c>
      <c r="P168" s="502">
        <f t="shared" si="149"/>
        <v>0.901806178142056</v>
      </c>
      <c r="Q168" s="529">
        <f t="shared" si="149"/>
        <v>0.8992505144264709</v>
      </c>
    </row>
    <row r="169" spans="1:17" ht="15" customHeight="1">
      <c r="A169" s="391">
        <f t="shared" si="143"/>
        <v>10000001</v>
      </c>
      <c r="B169" s="504">
        <f>30000000</f>
        <v>30000000</v>
      </c>
      <c r="C169" s="503">
        <v>0.001</v>
      </c>
      <c r="D169" s="391">
        <f t="shared" si="144"/>
        <v>77515</v>
      </c>
      <c r="K169" s="411">
        <f t="shared" si="145"/>
        <v>123944</v>
      </c>
      <c r="L169" s="430">
        <f t="shared" si="146"/>
        <v>513936</v>
      </c>
      <c r="M169" s="430">
        <f t="shared" si="147"/>
        <v>318940</v>
      </c>
      <c r="N169" s="530">
        <f t="shared" si="148"/>
        <v>0.8841774860893138</v>
      </c>
      <c r="P169" s="502">
        <f t="shared" si="149"/>
        <v>0.8944706476147379</v>
      </c>
      <c r="Q169" s="529">
        <f t="shared" si="149"/>
        <v>0.8924519062609304</v>
      </c>
    </row>
    <row r="170" spans="1:17" ht="15" customHeight="1">
      <c r="A170" s="391">
        <f t="shared" si="143"/>
        <v>30000001</v>
      </c>
      <c r="B170" s="504">
        <f>50000000</f>
        <v>50000000</v>
      </c>
      <c r="C170" s="503">
        <v>0.0009</v>
      </c>
      <c r="D170" s="391">
        <f t="shared" si="144"/>
        <v>95515</v>
      </c>
      <c r="K170" s="522">
        <f t="shared" si="145"/>
        <v>187304</v>
      </c>
      <c r="L170" s="523">
        <f t="shared" si="146"/>
        <v>848016</v>
      </c>
      <c r="M170" s="523">
        <f t="shared" si="147"/>
        <v>517660</v>
      </c>
      <c r="N170" s="531">
        <f t="shared" si="148"/>
        <v>0.8537879478530404</v>
      </c>
      <c r="O170" s="524"/>
      <c r="P170" s="532">
        <f t="shared" si="149"/>
        <v>0.8547083665097716</v>
      </c>
      <c r="Q170" s="533">
        <f t="shared" si="149"/>
        <v>0.8545417027774339</v>
      </c>
    </row>
    <row r="171" spans="1:13" ht="15" customHeight="1">
      <c r="A171" s="391">
        <f t="shared" si="143"/>
        <v>50000001</v>
      </c>
      <c r="B171" s="504">
        <f>80000000</f>
        <v>80000000</v>
      </c>
      <c r="C171" s="503">
        <v>0.0001</v>
      </c>
      <c r="D171" s="391">
        <f t="shared" si="144"/>
        <v>98515</v>
      </c>
      <c r="K171" s="430"/>
      <c r="L171" s="430"/>
      <c r="M171" s="430"/>
    </row>
    <row r="172" spans="1:4" ht="15" customHeight="1">
      <c r="A172" s="391">
        <f t="shared" si="143"/>
        <v>80000001</v>
      </c>
      <c r="B172" s="504">
        <v>500000000</v>
      </c>
      <c r="C172" s="413">
        <v>3.5E-05</v>
      </c>
      <c r="D172" s="391">
        <f t="shared" si="144"/>
        <v>113215</v>
      </c>
    </row>
    <row r="173" spans="1:4" ht="15" customHeight="1">
      <c r="A173" s="391">
        <f t="shared" si="143"/>
        <v>500000001</v>
      </c>
      <c r="B173" s="504"/>
      <c r="C173" s="391">
        <v>113215</v>
      </c>
      <c r="D173" s="391"/>
    </row>
  </sheetData>
  <sheetProtection/>
  <mergeCells count="15">
    <mergeCell ref="U1:Z1"/>
    <mergeCell ref="F124:J124"/>
    <mergeCell ref="F1:K1"/>
    <mergeCell ref="H58:J58"/>
    <mergeCell ref="H92:J92"/>
    <mergeCell ref="F90:J90"/>
    <mergeCell ref="F56:J56"/>
    <mergeCell ref="F22:J22"/>
    <mergeCell ref="H24:J24"/>
    <mergeCell ref="H126:J126"/>
    <mergeCell ref="G24:G25"/>
    <mergeCell ref="F24:F25"/>
    <mergeCell ref="F5:G5"/>
    <mergeCell ref="H5:I5"/>
    <mergeCell ref="J5:K5"/>
  </mergeCells>
  <printOptions horizontalCentered="1"/>
  <pageMargins left="0.5118110236220472" right="0.5118110236220472" top="1.1811023622047245" bottom="1.1811023622047245" header="0.31496062992125984" footer="0.31496062992125984"/>
  <pageSetup horizontalDpi="300" verticalDpi="300" orientation="portrait" paperSize="9" r:id="rId1"/>
  <headerFooter>
    <oddHeader>&amp;L&amp;"-,Itálico" 
ABEL NICOLAU DOS SANTOS
Economista – CRE 17.535-8&amp;R&amp;"-,Itálico"&amp;12CÁLCULOS FINANCEIROS
PARECERES,  LAUDOS,
EXECUÇÃO DE SENTENÇA</oddHeader>
    <oddFooter>&amp;C&amp;P/&amp;N&amp;R&amp;"-,Itálico"R Brigadeiro Jordão 435 – CEP 04210-000 - Ipiranga SP         
Fone 9391-7385 – 2061-4795 - abelnicolau@ig.com.br</oddFooter>
  </headerFooter>
</worksheet>
</file>

<file path=xl/worksheets/sheet7.xml><?xml version="1.0" encoding="utf-8"?>
<worksheet xmlns="http://schemas.openxmlformats.org/spreadsheetml/2006/main" xmlns:r="http://schemas.openxmlformats.org/officeDocument/2006/relationships">
  <dimension ref="A1:V287"/>
  <sheetViews>
    <sheetView zoomScale="115" zoomScaleNormal="115" zoomScalePageLayoutView="0" workbookViewId="0" topLeftCell="C172">
      <selection activeCell="C283" sqref="A283:IV283"/>
    </sheetView>
  </sheetViews>
  <sheetFormatPr defaultColWidth="9.140625" defaultRowHeight="21.75" customHeight="1"/>
  <cols>
    <col min="1" max="1" width="15.28125" style="20" hidden="1" customWidth="1"/>
    <col min="2" max="2" width="0" style="20" hidden="1" customWidth="1"/>
    <col min="3" max="3" width="9.7109375" style="27" bestFit="1" customWidth="1"/>
    <col min="4" max="4" width="9.140625" style="95" customWidth="1"/>
    <col min="5" max="5" width="12.57421875" style="27" bestFit="1" customWidth="1"/>
    <col min="6" max="6" width="9.140625" style="96" customWidth="1"/>
    <col min="7" max="7" width="13.7109375" style="96" bestFit="1" customWidth="1"/>
    <col min="8" max="8" width="9.140625" style="97" customWidth="1"/>
    <col min="9" max="9" width="14.00390625" style="96" bestFit="1" customWidth="1"/>
    <col min="10" max="10" width="12.8515625" style="35" customWidth="1"/>
    <col min="11" max="11" width="9.140625" style="21" customWidth="1"/>
    <col min="12" max="13" width="9.140625" style="35" customWidth="1"/>
    <col min="14" max="15" width="9.140625" style="25" customWidth="1"/>
    <col min="16" max="20" width="9.140625" style="26" customWidth="1"/>
    <col min="21" max="21" width="15.57421875" style="0" customWidth="1"/>
    <col min="22" max="22" width="8.8515625" style="0" customWidth="1"/>
    <col min="23" max="16384" width="9.140625" style="26" customWidth="1"/>
  </cols>
  <sheetData>
    <row r="1" spans="1:22" s="27" customFormat="1" ht="41.25" customHeight="1">
      <c r="A1" s="20"/>
      <c r="B1" s="20"/>
      <c r="C1" s="687" t="s">
        <v>181</v>
      </c>
      <c r="D1" s="688"/>
      <c r="E1" s="688"/>
      <c r="F1" s="688"/>
      <c r="G1" s="688"/>
      <c r="H1" s="688"/>
      <c r="I1" s="688"/>
      <c r="J1" s="689"/>
      <c r="K1" s="21"/>
      <c r="L1" s="22" t="s">
        <v>22</v>
      </c>
      <c r="M1" s="23" t="s">
        <v>23</v>
      </c>
      <c r="N1" s="24" t="s">
        <v>24</v>
      </c>
      <c r="O1" s="25" t="s">
        <v>25</v>
      </c>
      <c r="P1" s="26"/>
      <c r="Q1" s="26"/>
      <c r="R1" s="26"/>
      <c r="S1" s="26"/>
      <c r="T1" s="26"/>
      <c r="U1"/>
      <c r="V1"/>
    </row>
    <row r="2" spans="1:22" s="27" customFormat="1" ht="21.75" customHeight="1">
      <c r="A2" s="20"/>
      <c r="B2" s="20"/>
      <c r="C2" s="690" t="s">
        <v>180</v>
      </c>
      <c r="D2" s="690"/>
      <c r="E2" s="690"/>
      <c r="F2" s="690"/>
      <c r="G2" s="690"/>
      <c r="H2" s="690"/>
      <c r="I2" s="690"/>
      <c r="J2" s="28" t="s">
        <v>189</v>
      </c>
      <c r="K2" s="21"/>
      <c r="L2" s="48">
        <v>36039</v>
      </c>
      <c r="M2" s="49">
        <v>-0.08</v>
      </c>
      <c r="N2" s="24">
        <f aca="true" t="shared" si="0" ref="N2:N34">M2/100+1</f>
        <v>0.9992</v>
      </c>
      <c r="O2" s="50">
        <f aca="true" t="shared" si="1" ref="O2:O14">O3*N2</f>
        <v>3.1666127410017135</v>
      </c>
      <c r="P2" s="26"/>
      <c r="Q2" s="26"/>
      <c r="R2" s="26"/>
      <c r="S2" s="26"/>
      <c r="T2" s="26"/>
      <c r="U2"/>
      <c r="V2"/>
    </row>
    <row r="3" spans="1:22" s="27" customFormat="1" ht="21.75" customHeight="1">
      <c r="A3" s="20"/>
      <c r="B3" s="20"/>
      <c r="C3" s="29" t="s">
        <v>178</v>
      </c>
      <c r="D3" s="30" t="s">
        <v>190</v>
      </c>
      <c r="E3" s="29" t="s">
        <v>191</v>
      </c>
      <c r="F3" s="29" t="s">
        <v>192</v>
      </c>
      <c r="G3" s="31" t="s">
        <v>193</v>
      </c>
      <c r="H3" s="32" t="s">
        <v>21</v>
      </c>
      <c r="I3" s="33" t="s">
        <v>194</v>
      </c>
      <c r="J3" s="29" t="s">
        <v>179</v>
      </c>
      <c r="K3" s="34"/>
      <c r="L3" s="48">
        <v>36069</v>
      </c>
      <c r="M3" s="49">
        <v>0.08</v>
      </c>
      <c r="N3" s="24">
        <f t="shared" si="0"/>
        <v>1.0008</v>
      </c>
      <c r="O3" s="50">
        <f t="shared" si="1"/>
        <v>3.169148059449273</v>
      </c>
      <c r="P3" s="26"/>
      <c r="Q3" s="26"/>
      <c r="R3" s="26"/>
      <c r="S3" s="26"/>
      <c r="T3" s="26"/>
      <c r="U3"/>
      <c r="V3"/>
    </row>
    <row r="4" spans="1:22" s="27" customFormat="1" ht="21.75" customHeight="1">
      <c r="A4" s="20"/>
      <c r="B4" s="20"/>
      <c r="C4" s="36" t="s">
        <v>175</v>
      </c>
      <c r="D4" s="37">
        <v>32692</v>
      </c>
      <c r="E4" s="38">
        <v>613557.04</v>
      </c>
      <c r="F4" s="39">
        <v>16.3</v>
      </c>
      <c r="G4" s="38">
        <f>E4*F4</f>
        <v>10000979.752</v>
      </c>
      <c r="H4" s="40"/>
      <c r="I4" s="38">
        <f aca="true" t="shared" si="2" ref="I4:I11">H4*G4</f>
        <v>0</v>
      </c>
      <c r="J4" s="41" t="s">
        <v>195</v>
      </c>
      <c r="K4" s="21"/>
      <c r="L4" s="48">
        <v>36100</v>
      </c>
      <c r="M4" s="49">
        <v>-0.32</v>
      </c>
      <c r="N4" s="24">
        <f t="shared" si="0"/>
        <v>0.9968</v>
      </c>
      <c r="O4" s="50">
        <f t="shared" si="1"/>
        <v>3.1666147676351653</v>
      </c>
      <c r="P4" s="26"/>
      <c r="Q4" s="26"/>
      <c r="R4" s="26"/>
      <c r="S4" s="26"/>
      <c r="T4" s="26"/>
      <c r="U4"/>
      <c r="V4"/>
    </row>
    <row r="5" spans="1:22" s="27" customFormat="1" ht="21.75" customHeight="1">
      <c r="A5" s="20"/>
      <c r="B5" s="20"/>
      <c r="C5" s="42" t="s">
        <v>166</v>
      </c>
      <c r="D5" s="43">
        <v>34431</v>
      </c>
      <c r="E5" s="44">
        <v>221991</v>
      </c>
      <c r="F5" s="41">
        <v>1.71</v>
      </c>
      <c r="G5" s="44">
        <f>E5*F5</f>
        <v>379604.61</v>
      </c>
      <c r="H5" s="45"/>
      <c r="I5" s="44">
        <f t="shared" si="2"/>
        <v>0</v>
      </c>
      <c r="J5" s="41" t="s">
        <v>195</v>
      </c>
      <c r="K5" s="21"/>
      <c r="L5" s="48">
        <v>36130</v>
      </c>
      <c r="M5" s="49">
        <v>0.45</v>
      </c>
      <c r="N5" s="24">
        <f t="shared" si="0"/>
        <v>1.0045</v>
      </c>
      <c r="O5" s="50">
        <f t="shared" si="1"/>
        <v>3.1767804651235605</v>
      </c>
      <c r="P5" s="26"/>
      <c r="Q5" s="26"/>
      <c r="R5" s="26"/>
      <c r="S5" s="26"/>
      <c r="T5" s="26"/>
      <c r="U5"/>
      <c r="V5"/>
    </row>
    <row r="6" spans="1:22" s="27" customFormat="1" ht="21.75" customHeight="1">
      <c r="A6" s="20"/>
      <c r="B6" s="46">
        <v>1</v>
      </c>
      <c r="C6" s="42" t="s">
        <v>105</v>
      </c>
      <c r="D6" s="43">
        <v>36039</v>
      </c>
      <c r="E6" s="44"/>
      <c r="F6" s="47"/>
      <c r="G6" s="44">
        <v>8200000</v>
      </c>
      <c r="H6" s="45">
        <f>O2</f>
        <v>3.1666127410017135</v>
      </c>
      <c r="I6" s="44">
        <f t="shared" si="2"/>
        <v>25966224.47621405</v>
      </c>
      <c r="J6" s="41" t="s">
        <v>195</v>
      </c>
      <c r="K6" s="21"/>
      <c r="L6" s="48">
        <v>36161</v>
      </c>
      <c r="M6" s="49">
        <v>0.84</v>
      </c>
      <c r="N6" s="24">
        <f t="shared" si="0"/>
        <v>1.0084</v>
      </c>
      <c r="O6" s="50">
        <f t="shared" si="1"/>
        <v>3.162548994647646</v>
      </c>
      <c r="P6" s="26"/>
      <c r="Q6" s="26"/>
      <c r="R6" s="26"/>
      <c r="S6" s="26"/>
      <c r="T6" s="26"/>
      <c r="U6"/>
      <c r="V6"/>
    </row>
    <row r="7" spans="1:22" s="27" customFormat="1" ht="21.75" customHeight="1">
      <c r="A7" s="20"/>
      <c r="B7" s="46">
        <f>B6+1</f>
        <v>2</v>
      </c>
      <c r="C7" s="51" t="s">
        <v>108</v>
      </c>
      <c r="D7" s="43">
        <v>36201</v>
      </c>
      <c r="E7" s="44"/>
      <c r="F7" s="47"/>
      <c r="G7" s="44">
        <v>3400000</v>
      </c>
      <c r="H7" s="45">
        <f>O7</f>
        <v>3.136204873708495</v>
      </c>
      <c r="I7" s="44">
        <f t="shared" si="2"/>
        <v>10663096.570608884</v>
      </c>
      <c r="J7" s="41" t="s">
        <v>195</v>
      </c>
      <c r="K7" s="21"/>
      <c r="L7" s="48">
        <v>36192</v>
      </c>
      <c r="M7" s="49">
        <v>3.61</v>
      </c>
      <c r="N7" s="24">
        <f t="shared" si="0"/>
        <v>1.0361</v>
      </c>
      <c r="O7" s="50">
        <f t="shared" si="1"/>
        <v>3.136204873708495</v>
      </c>
      <c r="P7" s="26"/>
      <c r="Q7" s="26"/>
      <c r="R7" s="26"/>
      <c r="S7" s="26"/>
      <c r="T7" s="26"/>
      <c r="U7"/>
      <c r="V7"/>
    </row>
    <row r="8" spans="1:22" s="27" customFormat="1" ht="21.75" customHeight="1">
      <c r="A8" s="20"/>
      <c r="B8" s="46">
        <f>B7+1</f>
        <v>3</v>
      </c>
      <c r="C8" s="51" t="s">
        <v>156</v>
      </c>
      <c r="D8" s="43">
        <v>36328</v>
      </c>
      <c r="E8" s="44"/>
      <c r="F8" s="47"/>
      <c r="G8" s="44">
        <v>171192</v>
      </c>
      <c r="H8" s="45">
        <f>O11</f>
        <v>2.931376511713677</v>
      </c>
      <c r="I8" s="44">
        <f t="shared" si="2"/>
        <v>501828.2077932878</v>
      </c>
      <c r="J8" s="41" t="s">
        <v>195</v>
      </c>
      <c r="K8" s="21"/>
      <c r="L8" s="48">
        <v>36220</v>
      </c>
      <c r="M8" s="49">
        <v>2.83</v>
      </c>
      <c r="N8" s="24">
        <f t="shared" si="0"/>
        <v>1.0283</v>
      </c>
      <c r="O8" s="50">
        <f t="shared" si="1"/>
        <v>3.0269326066098783</v>
      </c>
      <c r="P8" s="26"/>
      <c r="Q8" s="26"/>
      <c r="R8" s="26"/>
      <c r="S8" s="26"/>
      <c r="T8" s="26"/>
      <c r="U8"/>
      <c r="V8"/>
    </row>
    <row r="9" spans="1:22" s="27" customFormat="1" ht="21.75" customHeight="1">
      <c r="A9" s="20"/>
      <c r="B9" s="46">
        <f>B8+1</f>
        <v>4</v>
      </c>
      <c r="C9" s="52" t="s">
        <v>110</v>
      </c>
      <c r="D9" s="43">
        <v>36335</v>
      </c>
      <c r="E9" s="44"/>
      <c r="F9" s="47"/>
      <c r="G9" s="44">
        <v>6167166.77</v>
      </c>
      <c r="H9" s="45">
        <f>O11</f>
        <v>2.931376511713677</v>
      </c>
      <c r="I9" s="44">
        <f t="shared" si="2"/>
        <v>18078287.813399103</v>
      </c>
      <c r="J9" s="41" t="s">
        <v>195</v>
      </c>
      <c r="K9" s="21"/>
      <c r="L9" s="48">
        <v>36251</v>
      </c>
      <c r="M9" s="49">
        <v>0.71</v>
      </c>
      <c r="N9" s="24">
        <f t="shared" si="0"/>
        <v>1.0071</v>
      </c>
      <c r="O9" s="50">
        <f t="shared" si="1"/>
        <v>2.943627936020498</v>
      </c>
      <c r="P9" s="26"/>
      <c r="Q9" s="26"/>
      <c r="R9" s="26"/>
      <c r="S9" s="26"/>
      <c r="T9" s="26"/>
      <c r="U9"/>
      <c r="V9"/>
    </row>
    <row r="10" spans="1:22" s="27" customFormat="1" ht="21.75" customHeight="1">
      <c r="A10" s="20"/>
      <c r="B10" s="46">
        <f>B9+1</f>
        <v>5</v>
      </c>
      <c r="C10" s="51" t="s">
        <v>111</v>
      </c>
      <c r="D10" s="43">
        <v>36362</v>
      </c>
      <c r="E10" s="44"/>
      <c r="F10" s="47"/>
      <c r="G10" s="44">
        <v>3500000</v>
      </c>
      <c r="H10" s="45">
        <f>O12</f>
        <v>2.9208614106353896</v>
      </c>
      <c r="I10" s="44">
        <f t="shared" si="2"/>
        <v>10223014.937223863</v>
      </c>
      <c r="J10" s="41" t="s">
        <v>195</v>
      </c>
      <c r="K10" s="21"/>
      <c r="L10" s="48">
        <v>36281</v>
      </c>
      <c r="M10" s="49">
        <v>-0.29</v>
      </c>
      <c r="N10" s="24">
        <f t="shared" si="0"/>
        <v>0.9971</v>
      </c>
      <c r="O10" s="50">
        <f t="shared" si="1"/>
        <v>2.922875519829707</v>
      </c>
      <c r="P10" s="26"/>
      <c r="Q10" s="26"/>
      <c r="R10" s="26"/>
      <c r="S10" s="26"/>
      <c r="T10" s="26"/>
      <c r="U10"/>
      <c r="V10"/>
    </row>
    <row r="11" spans="1:22" s="27" customFormat="1" ht="21.75" customHeight="1">
      <c r="A11" s="20"/>
      <c r="B11" s="46">
        <f>B10+1</f>
        <v>6</v>
      </c>
      <c r="C11" s="52" t="s">
        <v>297</v>
      </c>
      <c r="D11" s="43">
        <v>36419</v>
      </c>
      <c r="E11" s="44"/>
      <c r="F11" s="47"/>
      <c r="G11" s="44">
        <v>13652500</v>
      </c>
      <c r="H11" s="45">
        <f>O14</f>
        <v>2.8320983505520565</v>
      </c>
      <c r="I11" s="44">
        <f t="shared" si="2"/>
        <v>38665222.73091195</v>
      </c>
      <c r="J11" s="41" t="s">
        <v>195</v>
      </c>
      <c r="K11" s="21"/>
      <c r="L11" s="48">
        <v>36312</v>
      </c>
      <c r="M11" s="49">
        <v>0.36</v>
      </c>
      <c r="N11" s="24">
        <f t="shared" si="0"/>
        <v>1.0036</v>
      </c>
      <c r="O11" s="50">
        <f t="shared" si="1"/>
        <v>2.931376511713677</v>
      </c>
      <c r="P11" s="26"/>
      <c r="Q11" s="26"/>
      <c r="R11" s="26"/>
      <c r="S11" s="26"/>
      <c r="T11" s="26"/>
      <c r="U11"/>
      <c r="V11"/>
    </row>
    <row r="12" spans="1:22" s="27" customFormat="1" ht="27" customHeight="1">
      <c r="A12" s="20"/>
      <c r="B12" s="46"/>
      <c r="C12" s="53"/>
      <c r="D12" s="691" t="s">
        <v>196</v>
      </c>
      <c r="E12" s="691"/>
      <c r="F12" s="691"/>
      <c r="G12" s="691"/>
      <c r="H12" s="692"/>
      <c r="I12" s="54">
        <f>SUM(I4:I11)</f>
        <v>104097674.73615113</v>
      </c>
      <c r="J12" s="55"/>
      <c r="K12" s="21"/>
      <c r="L12" s="48">
        <v>36342</v>
      </c>
      <c r="M12" s="49">
        <v>1.55</v>
      </c>
      <c r="N12" s="24">
        <f t="shared" si="0"/>
        <v>1.0155</v>
      </c>
      <c r="O12" s="50">
        <f t="shared" si="1"/>
        <v>2.9208614106353896</v>
      </c>
      <c r="P12" s="26"/>
      <c r="Q12" s="26"/>
      <c r="R12" s="26"/>
      <c r="S12" s="26"/>
      <c r="T12" s="26"/>
      <c r="U12"/>
      <c r="V12"/>
    </row>
    <row r="13" spans="1:22" s="27" customFormat="1" ht="21.75" customHeight="1">
      <c r="A13" s="20"/>
      <c r="B13" s="46">
        <v>1</v>
      </c>
      <c r="C13" s="52" t="s">
        <v>106</v>
      </c>
      <c r="D13" s="43">
        <v>36692</v>
      </c>
      <c r="E13" s="44"/>
      <c r="F13" s="47"/>
      <c r="G13" s="44">
        <v>41189761</v>
      </c>
      <c r="H13" s="45">
        <f>O23</f>
        <v>2.5740970603022197</v>
      </c>
      <c r="I13" s="44">
        <f>H13*G13</f>
        <v>106026442.70465101</v>
      </c>
      <c r="J13" s="41" t="s">
        <v>195</v>
      </c>
      <c r="K13" s="21"/>
      <c r="L13" s="48">
        <v>36373</v>
      </c>
      <c r="M13" s="49">
        <v>1.56</v>
      </c>
      <c r="N13" s="24">
        <f t="shared" si="0"/>
        <v>1.0156</v>
      </c>
      <c r="O13" s="50">
        <f t="shared" si="1"/>
        <v>2.876279084820669</v>
      </c>
      <c r="P13" s="26"/>
      <c r="Q13" s="26"/>
      <c r="R13" s="26"/>
      <c r="S13" s="26"/>
      <c r="T13" s="26"/>
      <c r="U13"/>
      <c r="V13"/>
    </row>
    <row r="14" spans="1:22" s="27" customFormat="1" ht="21.75" customHeight="1">
      <c r="A14" s="20"/>
      <c r="B14" s="46">
        <f>B13+1</f>
        <v>2</v>
      </c>
      <c r="C14" s="56" t="s">
        <v>107</v>
      </c>
      <c r="D14" s="43">
        <v>36816</v>
      </c>
      <c r="E14" s="57">
        <v>36156509.67</v>
      </c>
      <c r="F14" s="41">
        <v>1.71</v>
      </c>
      <c r="G14" s="44">
        <f>E14*F14</f>
        <v>61827631.5357</v>
      </c>
      <c r="H14" s="45">
        <f>O27</f>
        <v>2.426147495867059</v>
      </c>
      <c r="I14" s="44">
        <f>H14*G14</f>
        <v>150002953.42572975</v>
      </c>
      <c r="J14" s="41" t="s">
        <v>195</v>
      </c>
      <c r="K14" s="21"/>
      <c r="L14" s="48">
        <v>36404</v>
      </c>
      <c r="M14" s="49">
        <v>1.45</v>
      </c>
      <c r="N14" s="24">
        <f t="shared" si="0"/>
        <v>1.0145</v>
      </c>
      <c r="O14" s="50">
        <f t="shared" si="1"/>
        <v>2.8320983505520565</v>
      </c>
      <c r="P14" s="26"/>
      <c r="Q14" s="26"/>
      <c r="R14" s="26"/>
      <c r="S14" s="26"/>
      <c r="T14" s="26"/>
      <c r="U14"/>
      <c r="V14"/>
    </row>
    <row r="15" spans="1:22" s="27" customFormat="1" ht="21.75" customHeight="1">
      <c r="A15" s="20"/>
      <c r="B15" s="46">
        <f>B14+1</f>
        <v>3</v>
      </c>
      <c r="C15" s="52" t="s">
        <v>109</v>
      </c>
      <c r="D15" s="43">
        <v>36852</v>
      </c>
      <c r="E15" s="44"/>
      <c r="F15" s="47"/>
      <c r="G15" s="44">
        <v>7717110</v>
      </c>
      <c r="H15" s="45">
        <f>O28</f>
        <v>2.4169630363290087</v>
      </c>
      <c r="I15" s="44">
        <f>H15*G15</f>
        <v>18651969.617284957</v>
      </c>
      <c r="J15" s="41" t="s">
        <v>195</v>
      </c>
      <c r="K15" s="21"/>
      <c r="L15" s="48">
        <v>36434</v>
      </c>
      <c r="M15" s="49">
        <v>1.7</v>
      </c>
      <c r="N15" s="24">
        <f t="shared" si="0"/>
        <v>1.017</v>
      </c>
      <c r="O15" s="50">
        <f>O17*N15</f>
        <v>2.791619862545152</v>
      </c>
      <c r="P15" s="26"/>
      <c r="Q15" s="26"/>
      <c r="R15" s="26"/>
      <c r="S15" s="26"/>
      <c r="T15" s="26"/>
      <c r="U15"/>
      <c r="V15"/>
    </row>
    <row r="16" spans="1:22" s="27" customFormat="1" ht="21.75" customHeight="1">
      <c r="A16" s="20"/>
      <c r="B16" s="46">
        <f>B15+1</f>
        <v>4</v>
      </c>
      <c r="C16" s="52" t="s">
        <v>167</v>
      </c>
      <c r="D16" s="43">
        <v>36854</v>
      </c>
      <c r="E16" s="44"/>
      <c r="F16" s="47"/>
      <c r="G16" s="44">
        <v>3684832.4</v>
      </c>
      <c r="H16" s="45">
        <f>O28</f>
        <v>2.4169630363290087</v>
      </c>
      <c r="I16" s="44">
        <f>H16*G16</f>
        <v>8906103.705867508</v>
      </c>
      <c r="J16" s="41" t="s">
        <v>195</v>
      </c>
      <c r="K16" s="21"/>
      <c r="L16" s="48">
        <v>36495</v>
      </c>
      <c r="M16" s="49">
        <v>1.81</v>
      </c>
      <c r="N16" s="24">
        <f t="shared" si="0"/>
        <v>1.0181</v>
      </c>
      <c r="O16" s="50">
        <f>O18*N16</f>
        <v>2.6808825247145363</v>
      </c>
      <c r="P16" s="26"/>
      <c r="Q16" s="26"/>
      <c r="R16" s="26"/>
      <c r="S16" s="26"/>
      <c r="T16" s="26"/>
      <c r="U16"/>
      <c r="V16"/>
    </row>
    <row r="17" spans="1:22" s="27" customFormat="1" ht="21.75" customHeight="1">
      <c r="A17" s="20"/>
      <c r="B17" s="46">
        <f>B16+1</f>
        <v>5</v>
      </c>
      <c r="C17" s="52" t="s">
        <v>168</v>
      </c>
      <c r="D17" s="43">
        <v>36874</v>
      </c>
      <c r="E17" s="57">
        <v>1700000</v>
      </c>
      <c r="F17" s="41">
        <v>1.71</v>
      </c>
      <c r="G17" s="44">
        <f>E17*F17</f>
        <v>2907000</v>
      </c>
      <c r="H17" s="45">
        <f>O29</f>
        <v>2.4099741114059317</v>
      </c>
      <c r="I17" s="44">
        <f>H17*G17</f>
        <v>7005794.7418570435</v>
      </c>
      <c r="J17" s="41" t="s">
        <v>195</v>
      </c>
      <c r="K17" s="21"/>
      <c r="L17" s="48">
        <v>36465</v>
      </c>
      <c r="M17" s="49">
        <v>2.39</v>
      </c>
      <c r="N17" s="24">
        <f>M17/100+1</f>
        <v>1.0239</v>
      </c>
      <c r="O17" s="50">
        <f>O16*N17</f>
        <v>2.7449556170552136</v>
      </c>
      <c r="P17" s="26"/>
      <c r="Q17" s="26"/>
      <c r="R17" s="26"/>
      <c r="S17" s="26"/>
      <c r="T17" s="26"/>
      <c r="U17"/>
      <c r="V17"/>
    </row>
    <row r="18" spans="1:22" s="27" customFormat="1" ht="27" customHeight="1">
      <c r="A18" s="20"/>
      <c r="B18" s="46"/>
      <c r="C18" s="53"/>
      <c r="D18" s="680" t="s">
        <v>197</v>
      </c>
      <c r="E18" s="680"/>
      <c r="F18" s="680"/>
      <c r="G18" s="680"/>
      <c r="H18" s="686"/>
      <c r="I18" s="54">
        <f>SUM(I13:I17)</f>
        <v>290593264.1953903</v>
      </c>
      <c r="J18" s="55"/>
      <c r="K18" s="21"/>
      <c r="L18" s="48">
        <v>36526</v>
      </c>
      <c r="M18" s="49">
        <v>1.24</v>
      </c>
      <c r="N18" s="24">
        <f t="shared" si="0"/>
        <v>1.0124</v>
      </c>
      <c r="O18" s="50">
        <f>O19*N18</f>
        <v>2.633221220621291</v>
      </c>
      <c r="P18" s="26"/>
      <c r="Q18" s="26"/>
      <c r="R18" s="26"/>
      <c r="S18" s="26"/>
      <c r="T18" s="26"/>
      <c r="U18"/>
      <c r="V18"/>
    </row>
    <row r="19" spans="1:22" s="27" customFormat="1" ht="21.75" customHeight="1">
      <c r="A19" s="20"/>
      <c r="B19" s="46">
        <v>1</v>
      </c>
      <c r="C19" s="52" t="s">
        <v>112</v>
      </c>
      <c r="D19" s="43">
        <v>37035</v>
      </c>
      <c r="E19" s="57">
        <v>7500000</v>
      </c>
      <c r="F19" s="41">
        <v>1.71</v>
      </c>
      <c r="G19" s="44">
        <f>E19*F19</f>
        <v>12825000</v>
      </c>
      <c r="H19" s="45">
        <f>O34</f>
        <v>2.338063073104325</v>
      </c>
      <c r="I19" s="44">
        <f>H19*G19</f>
        <v>29985658.912562966</v>
      </c>
      <c r="J19" s="41" t="s">
        <v>195</v>
      </c>
      <c r="K19" s="21"/>
      <c r="L19" s="48">
        <v>36557</v>
      </c>
      <c r="M19" s="49">
        <v>0.35</v>
      </c>
      <c r="N19" s="24">
        <f t="shared" si="0"/>
        <v>1.0035</v>
      </c>
      <c r="O19" s="50">
        <f aca="true" t="shared" si="3" ref="O19:O30">O20*N19</f>
        <v>2.6009692025101647</v>
      </c>
      <c r="P19" s="26"/>
      <c r="Q19" s="26"/>
      <c r="R19" s="26"/>
      <c r="S19" s="26"/>
      <c r="T19" s="26"/>
      <c r="U19"/>
      <c r="V19"/>
    </row>
    <row r="20" spans="1:22" s="27" customFormat="1" ht="27" customHeight="1">
      <c r="A20" s="20"/>
      <c r="B20" s="46"/>
      <c r="C20" s="53"/>
      <c r="D20" s="680" t="s">
        <v>198</v>
      </c>
      <c r="E20" s="680"/>
      <c r="F20" s="680"/>
      <c r="G20" s="680"/>
      <c r="H20" s="686"/>
      <c r="I20" s="54">
        <f>SUM(I19)</f>
        <v>29985658.912562966</v>
      </c>
      <c r="J20" s="55"/>
      <c r="K20" s="21"/>
      <c r="L20" s="48">
        <v>36586</v>
      </c>
      <c r="M20" s="49">
        <v>0.15</v>
      </c>
      <c r="N20" s="24">
        <f t="shared" si="0"/>
        <v>1.0015</v>
      </c>
      <c r="O20" s="50">
        <f t="shared" si="3"/>
        <v>2.5918975610465016</v>
      </c>
      <c r="P20" s="26"/>
      <c r="Q20" s="26"/>
      <c r="R20" s="26"/>
      <c r="S20" s="26"/>
      <c r="T20" s="26"/>
      <c r="U20"/>
      <c r="V20"/>
    </row>
    <row r="21" spans="1:22" s="27" customFormat="1" ht="21.75" customHeight="1">
      <c r="A21"/>
      <c r="B21" s="46">
        <v>1</v>
      </c>
      <c r="C21" s="52" t="s">
        <v>113</v>
      </c>
      <c r="D21" s="43">
        <v>37244</v>
      </c>
      <c r="E21" s="44"/>
      <c r="F21" s="47"/>
      <c r="G21" s="44">
        <v>10242319.51</v>
      </c>
      <c r="H21" s="45">
        <f>O41</f>
        <v>2.174598509870109</v>
      </c>
      <c r="I21" s="44">
        <f>H21*G21</f>
        <v>22272932.744059544</v>
      </c>
      <c r="J21" s="41" t="s">
        <v>195</v>
      </c>
      <c r="K21" s="21"/>
      <c r="L21" s="48">
        <v>36617</v>
      </c>
      <c r="M21" s="49">
        <v>0.23</v>
      </c>
      <c r="N21" s="24">
        <f t="shared" si="0"/>
        <v>1.0023</v>
      </c>
      <c r="O21" s="50">
        <f t="shared" si="3"/>
        <v>2.5880155377398917</v>
      </c>
      <c r="P21" s="26"/>
      <c r="Q21" s="26"/>
      <c r="R21" s="26"/>
      <c r="S21" s="26"/>
      <c r="T21" s="26"/>
      <c r="U21"/>
      <c r="V21"/>
    </row>
    <row r="22" spans="1:22" s="27" customFormat="1" ht="21.75" customHeight="1">
      <c r="A22"/>
      <c r="B22" s="46">
        <f>B21+1</f>
        <v>2</v>
      </c>
      <c r="C22" s="52" t="s">
        <v>114</v>
      </c>
      <c r="D22" s="43">
        <v>37316</v>
      </c>
      <c r="E22" s="44"/>
      <c r="F22" s="47"/>
      <c r="G22" s="44">
        <v>5724444.6</v>
      </c>
      <c r="H22" s="45">
        <f>O44</f>
        <v>2.160745098477867</v>
      </c>
      <c r="I22" s="44">
        <f>H22*G22</f>
        <v>12369065.610958094</v>
      </c>
      <c r="J22" s="41" t="s">
        <v>195</v>
      </c>
      <c r="K22" s="21"/>
      <c r="L22" s="48">
        <v>36647</v>
      </c>
      <c r="M22" s="49">
        <v>0.31</v>
      </c>
      <c r="N22" s="24">
        <f t="shared" si="0"/>
        <v>1.0031</v>
      </c>
      <c r="O22" s="50">
        <f t="shared" si="3"/>
        <v>2.582076761189157</v>
      </c>
      <c r="P22" s="26"/>
      <c r="Q22" s="26"/>
      <c r="R22" s="26"/>
      <c r="S22" s="26"/>
      <c r="T22" s="26"/>
      <c r="U22"/>
      <c r="V22"/>
    </row>
    <row r="23" spans="1:22" s="27" customFormat="1" ht="21.75" customHeight="1">
      <c r="A23"/>
      <c r="B23" s="46">
        <f>B22+1</f>
        <v>3</v>
      </c>
      <c r="C23" s="52" t="s">
        <v>115</v>
      </c>
      <c r="D23" s="43">
        <v>37323</v>
      </c>
      <c r="E23" s="44"/>
      <c r="F23" s="47"/>
      <c r="G23" s="44" t="s">
        <v>104</v>
      </c>
      <c r="H23" s="45"/>
      <c r="I23" s="44"/>
      <c r="J23" s="41" t="s">
        <v>195</v>
      </c>
      <c r="K23" s="21"/>
      <c r="L23" s="48">
        <v>36678</v>
      </c>
      <c r="M23" s="49">
        <v>0.85</v>
      </c>
      <c r="N23" s="24">
        <f t="shared" si="0"/>
        <v>1.0085</v>
      </c>
      <c r="O23" s="50">
        <f t="shared" si="3"/>
        <v>2.5740970603022197</v>
      </c>
      <c r="P23" s="26"/>
      <c r="Q23" s="26"/>
      <c r="R23" s="26"/>
      <c r="S23" s="26"/>
      <c r="T23" s="26"/>
      <c r="U23"/>
      <c r="V23"/>
    </row>
    <row r="24" spans="1:22" s="27" customFormat="1" ht="21.75" customHeight="1">
      <c r="A24"/>
      <c r="B24" s="46">
        <f>B23+1</f>
        <v>4</v>
      </c>
      <c r="C24" s="52" t="s">
        <v>116</v>
      </c>
      <c r="D24" s="43">
        <v>37396</v>
      </c>
      <c r="E24" s="44"/>
      <c r="F24" s="47"/>
      <c r="G24" s="44">
        <v>21800000</v>
      </c>
      <c r="H24" s="45">
        <f>O46</f>
        <v>2.146780207357797</v>
      </c>
      <c r="I24" s="44">
        <f aca="true" t="shared" si="4" ref="I24:I31">H24*G24</f>
        <v>46799808.52039997</v>
      </c>
      <c r="J24" s="41" t="s">
        <v>195</v>
      </c>
      <c r="K24" s="21"/>
      <c r="L24" s="48">
        <v>36708</v>
      </c>
      <c r="M24" s="49">
        <v>1.57</v>
      </c>
      <c r="N24" s="24">
        <f t="shared" si="0"/>
        <v>1.0157</v>
      </c>
      <c r="O24" s="50">
        <f t="shared" si="3"/>
        <v>2.552401646308597</v>
      </c>
      <c r="P24" s="26"/>
      <c r="Q24" s="26"/>
      <c r="R24" s="26"/>
      <c r="S24" s="26"/>
      <c r="T24" s="26"/>
      <c r="U24"/>
      <c r="V24"/>
    </row>
    <row r="25" spans="1:22" s="27" customFormat="1" ht="21.75" customHeight="1">
      <c r="A25"/>
      <c r="B25" s="46">
        <f aca="true" t="shared" si="5" ref="B25:B31">B24+1</f>
        <v>5</v>
      </c>
      <c r="C25" s="52" t="s">
        <v>117</v>
      </c>
      <c r="D25" s="43">
        <v>37449</v>
      </c>
      <c r="E25" s="57">
        <v>800000</v>
      </c>
      <c r="F25" s="41">
        <v>1.71</v>
      </c>
      <c r="G25" s="44">
        <f>E25*F25</f>
        <v>1368000</v>
      </c>
      <c r="H25" s="45">
        <f>O48</f>
        <v>2.0968176146627826</v>
      </c>
      <c r="I25" s="44">
        <f t="shared" si="4"/>
        <v>2868446.4968586867</v>
      </c>
      <c r="J25" s="41" t="s">
        <v>195</v>
      </c>
      <c r="K25" s="21"/>
      <c r="L25" s="48">
        <v>36739</v>
      </c>
      <c r="M25" s="49">
        <v>2.39</v>
      </c>
      <c r="N25" s="24">
        <f t="shared" si="0"/>
        <v>1.0239</v>
      </c>
      <c r="O25" s="50">
        <f t="shared" si="3"/>
        <v>2.512948357102094</v>
      </c>
      <c r="P25" s="26"/>
      <c r="Q25" s="26"/>
      <c r="R25" s="26"/>
      <c r="S25" s="26"/>
      <c r="T25" s="26"/>
      <c r="U25"/>
      <c r="V25"/>
    </row>
    <row r="26" spans="1:22" s="27" customFormat="1" ht="21.75" customHeight="1">
      <c r="A26"/>
      <c r="B26" s="46">
        <f t="shared" si="5"/>
        <v>6</v>
      </c>
      <c r="C26" s="52" t="s">
        <v>118</v>
      </c>
      <c r="D26" s="43">
        <v>37496</v>
      </c>
      <c r="E26" s="44"/>
      <c r="F26" s="47"/>
      <c r="G26" s="44">
        <v>1211000</v>
      </c>
      <c r="H26" s="45">
        <f>O49</f>
        <v>2.056711735814402</v>
      </c>
      <c r="I26" s="44">
        <f t="shared" si="4"/>
        <v>2490677.9120712406</v>
      </c>
      <c r="J26" s="41" t="s">
        <v>195</v>
      </c>
      <c r="K26" s="21"/>
      <c r="L26" s="48">
        <v>36770</v>
      </c>
      <c r="M26" s="49">
        <v>1.16</v>
      </c>
      <c r="N26" s="24">
        <f t="shared" si="0"/>
        <v>1.0116</v>
      </c>
      <c r="O26" s="50">
        <f t="shared" si="3"/>
        <v>2.4542908068191167</v>
      </c>
      <c r="P26" s="26"/>
      <c r="Q26" s="26"/>
      <c r="R26" s="26"/>
      <c r="S26" s="26"/>
      <c r="T26" s="26"/>
      <c r="U26"/>
      <c r="V26"/>
    </row>
    <row r="27" spans="1:22" s="27" customFormat="1" ht="21.75" customHeight="1">
      <c r="A27"/>
      <c r="B27" s="46">
        <f t="shared" si="5"/>
        <v>7</v>
      </c>
      <c r="C27" s="52" t="s">
        <v>119</v>
      </c>
      <c r="D27" s="43">
        <v>37566</v>
      </c>
      <c r="E27" s="57">
        <v>778808.03</v>
      </c>
      <c r="F27" s="41">
        <v>1.71</v>
      </c>
      <c r="G27" s="44">
        <f>E27*F27</f>
        <v>1331761.7313</v>
      </c>
      <c r="H27" s="45">
        <f>O53</f>
        <v>1.8898302940719673</v>
      </c>
      <c r="I27" s="44">
        <f t="shared" si="4"/>
        <v>2516803.6642964715</v>
      </c>
      <c r="J27" s="41" t="s">
        <v>195</v>
      </c>
      <c r="K27" s="21"/>
      <c r="L27" s="48">
        <v>36800</v>
      </c>
      <c r="M27" s="49">
        <v>0.38</v>
      </c>
      <c r="N27" s="24">
        <f t="shared" si="0"/>
        <v>1.0038</v>
      </c>
      <c r="O27" s="50">
        <f>O28*N27</f>
        <v>2.426147495867059</v>
      </c>
      <c r="P27" s="26"/>
      <c r="Q27" s="26"/>
      <c r="R27" s="26"/>
      <c r="S27" s="26"/>
      <c r="T27" s="26"/>
      <c r="U27"/>
      <c r="V27"/>
    </row>
    <row r="28" spans="1:22" s="27" customFormat="1" ht="21.75" customHeight="1">
      <c r="A28"/>
      <c r="B28" s="46">
        <f t="shared" si="5"/>
        <v>8</v>
      </c>
      <c r="C28" s="52" t="s">
        <v>169</v>
      </c>
      <c r="D28" s="43">
        <v>37600</v>
      </c>
      <c r="E28" s="44"/>
      <c r="F28" s="47"/>
      <c r="G28" s="44">
        <v>6978593</v>
      </c>
      <c r="H28" s="45">
        <f>O51</f>
        <v>1.7965874076166624</v>
      </c>
      <c r="I28" s="44">
        <f t="shared" si="4"/>
        <v>12537652.306681786</v>
      </c>
      <c r="J28" s="41" t="s">
        <v>195</v>
      </c>
      <c r="K28" s="21"/>
      <c r="L28" s="48">
        <v>36831</v>
      </c>
      <c r="M28" s="49">
        <v>0.29</v>
      </c>
      <c r="N28" s="24">
        <f t="shared" si="0"/>
        <v>1.0029</v>
      </c>
      <c r="O28" s="50">
        <f t="shared" si="3"/>
        <v>2.4169630363290087</v>
      </c>
      <c r="P28" s="26"/>
      <c r="Q28" s="26"/>
      <c r="R28" s="26"/>
      <c r="S28" s="26"/>
      <c r="T28" s="26"/>
      <c r="U28"/>
      <c r="V28"/>
    </row>
    <row r="29" spans="1:22" s="27" customFormat="1" ht="21.75" customHeight="1">
      <c r="A29"/>
      <c r="B29" s="46">
        <f t="shared" si="5"/>
        <v>9</v>
      </c>
      <c r="C29" s="52" t="s">
        <v>170</v>
      </c>
      <c r="D29" s="43">
        <v>37607</v>
      </c>
      <c r="E29" s="44"/>
      <c r="F29" s="47"/>
      <c r="G29" s="44">
        <v>3061300</v>
      </c>
      <c r="H29" s="45">
        <f>O51</f>
        <v>1.7965874076166624</v>
      </c>
      <c r="I29" s="44">
        <f t="shared" si="4"/>
        <v>5499893.030936888</v>
      </c>
      <c r="J29" s="41" t="s">
        <v>195</v>
      </c>
      <c r="K29" s="21"/>
      <c r="L29" s="48">
        <v>36861</v>
      </c>
      <c r="M29" s="49">
        <v>0.63</v>
      </c>
      <c r="N29" s="24">
        <f t="shared" si="0"/>
        <v>1.0063</v>
      </c>
      <c r="O29" s="50">
        <f t="shared" si="3"/>
        <v>2.4099741114059317</v>
      </c>
      <c r="P29" s="26"/>
      <c r="Q29" s="26"/>
      <c r="R29" s="26"/>
      <c r="S29" s="26"/>
      <c r="T29" s="26"/>
      <c r="U29"/>
      <c r="V29"/>
    </row>
    <row r="30" spans="1:22" s="27" customFormat="1" ht="21.75" customHeight="1">
      <c r="A30"/>
      <c r="B30" s="46">
        <f t="shared" si="5"/>
        <v>10</v>
      </c>
      <c r="C30" s="52" t="s">
        <v>4</v>
      </c>
      <c r="D30" s="43">
        <v>37607</v>
      </c>
      <c r="E30" s="44"/>
      <c r="F30" s="47"/>
      <c r="G30" s="44">
        <v>12298700</v>
      </c>
      <c r="H30" s="45">
        <f>O51</f>
        <v>1.7965874076166624</v>
      </c>
      <c r="I30" s="44">
        <f t="shared" si="4"/>
        <v>22095689.550055046</v>
      </c>
      <c r="J30" s="41" t="s">
        <v>195</v>
      </c>
      <c r="K30" s="21"/>
      <c r="L30" s="48">
        <v>36892</v>
      </c>
      <c r="M30" s="59">
        <v>0.62</v>
      </c>
      <c r="N30" s="24">
        <f t="shared" si="0"/>
        <v>1.0062</v>
      </c>
      <c r="O30" s="50">
        <f t="shared" si="3"/>
        <v>2.3948863275424146</v>
      </c>
      <c r="P30" s="26"/>
      <c r="Q30" s="26"/>
      <c r="R30" s="26"/>
      <c r="S30" s="26"/>
      <c r="T30" s="26"/>
      <c r="U30"/>
      <c r="V30"/>
    </row>
    <row r="31" spans="1:22" s="27" customFormat="1" ht="21.75" customHeight="1">
      <c r="A31"/>
      <c r="B31" s="46">
        <f t="shared" si="5"/>
        <v>11</v>
      </c>
      <c r="C31" s="52" t="s">
        <v>5</v>
      </c>
      <c r="D31" s="43">
        <v>37607</v>
      </c>
      <c r="E31" s="44"/>
      <c r="F31" s="47"/>
      <c r="G31" s="44">
        <v>3284400</v>
      </c>
      <c r="H31" s="45">
        <f>O51</f>
        <v>1.7965874076166624</v>
      </c>
      <c r="I31" s="44">
        <f t="shared" si="4"/>
        <v>5900711.681576166</v>
      </c>
      <c r="J31" s="41" t="s">
        <v>195</v>
      </c>
      <c r="K31" s="21"/>
      <c r="L31" s="48">
        <v>36923</v>
      </c>
      <c r="M31" s="59">
        <v>0.23</v>
      </c>
      <c r="N31" s="24">
        <f t="shared" si="0"/>
        <v>1.0023</v>
      </c>
      <c r="O31" s="50">
        <f>O32*N31</f>
        <v>2.380129524490573</v>
      </c>
      <c r="P31" s="26"/>
      <c r="Q31" s="26"/>
      <c r="R31" s="26"/>
      <c r="S31" s="26"/>
      <c r="T31" s="26"/>
      <c r="U31"/>
      <c r="V31"/>
    </row>
    <row r="32" spans="2:22" s="27" customFormat="1" ht="27" customHeight="1">
      <c r="B32" s="46"/>
      <c r="C32" s="53"/>
      <c r="D32" s="680" t="s">
        <v>199</v>
      </c>
      <c r="E32" s="680"/>
      <c r="F32" s="680"/>
      <c r="G32" s="680"/>
      <c r="H32" s="686"/>
      <c r="I32" s="54">
        <f>SUM(I21:I31)</f>
        <v>135351681.5178939</v>
      </c>
      <c r="J32" s="55"/>
      <c r="K32" s="21"/>
      <c r="L32" s="48">
        <v>36951</v>
      </c>
      <c r="M32" s="59">
        <v>0.56</v>
      </c>
      <c r="N32" s="24">
        <f t="shared" si="0"/>
        <v>1.0056</v>
      </c>
      <c r="O32" s="50">
        <f aca="true" t="shared" si="6" ref="O32:O40">O33*N32</f>
        <v>2.374667788576846</v>
      </c>
      <c r="P32" s="26"/>
      <c r="Q32" s="26"/>
      <c r="R32" s="26"/>
      <c r="S32" s="26"/>
      <c r="T32" s="26"/>
      <c r="U32"/>
      <c r="V32"/>
    </row>
    <row r="33" spans="2:22" s="27" customFormat="1" ht="23.25" customHeight="1">
      <c r="B33" s="46"/>
      <c r="C33" s="52" t="s">
        <v>120</v>
      </c>
      <c r="D33" s="76">
        <v>37806</v>
      </c>
      <c r="E33" s="194"/>
      <c r="F33" s="44"/>
      <c r="G33" s="44" t="s">
        <v>104</v>
      </c>
      <c r="H33" s="44"/>
      <c r="I33" s="195"/>
      <c r="J33" s="41" t="s">
        <v>195</v>
      </c>
      <c r="K33" s="21"/>
      <c r="L33" s="48">
        <v>36982</v>
      </c>
      <c r="M33" s="59">
        <v>1</v>
      </c>
      <c r="N33" s="24">
        <f t="shared" si="0"/>
        <v>1.01</v>
      </c>
      <c r="O33" s="50">
        <f t="shared" si="6"/>
        <v>2.361443703835368</v>
      </c>
      <c r="P33" s="26"/>
      <c r="Q33" s="26"/>
      <c r="R33" s="26"/>
      <c r="S33" s="26"/>
      <c r="T33" s="26"/>
      <c r="U33"/>
      <c r="V33"/>
    </row>
    <row r="34" spans="2:22" s="27" customFormat="1" ht="23.25" customHeight="1">
      <c r="B34" s="46"/>
      <c r="C34" s="52" t="s">
        <v>121</v>
      </c>
      <c r="D34" s="76">
        <v>37816</v>
      </c>
      <c r="E34" s="194"/>
      <c r="F34" s="44"/>
      <c r="G34" s="44" t="s">
        <v>104</v>
      </c>
      <c r="H34" s="44"/>
      <c r="I34" s="195"/>
      <c r="J34" s="41" t="s">
        <v>195</v>
      </c>
      <c r="K34" s="21"/>
      <c r="L34" s="48">
        <v>37012</v>
      </c>
      <c r="M34" s="59">
        <v>0.86</v>
      </c>
      <c r="N34" s="24">
        <f t="shared" si="0"/>
        <v>1.0086</v>
      </c>
      <c r="O34" s="50">
        <f t="shared" si="6"/>
        <v>2.338063073104325</v>
      </c>
      <c r="P34" s="26"/>
      <c r="Q34" s="26"/>
      <c r="R34" s="26"/>
      <c r="S34" s="26"/>
      <c r="T34" s="26"/>
      <c r="U34"/>
      <c r="V34"/>
    </row>
    <row r="35" spans="1:22" s="27" customFormat="1" ht="21.75" customHeight="1">
      <c r="A35" s="20"/>
      <c r="B35" s="46">
        <v>1</v>
      </c>
      <c r="C35" s="52" t="s">
        <v>122</v>
      </c>
      <c r="D35" s="43">
        <v>37894</v>
      </c>
      <c r="E35" s="44"/>
      <c r="F35" s="47"/>
      <c r="G35" s="44">
        <v>2500000</v>
      </c>
      <c r="H35" s="45">
        <f>O62</f>
        <v>1.6359538672190945</v>
      </c>
      <c r="I35" s="44">
        <f>H35*G35</f>
        <v>4089884.6680477364</v>
      </c>
      <c r="J35" s="58" t="s">
        <v>532</v>
      </c>
      <c r="K35" s="21"/>
      <c r="L35" s="48">
        <v>37043</v>
      </c>
      <c r="M35" s="59">
        <v>0.98</v>
      </c>
      <c r="N35" s="24">
        <v>1.0098</v>
      </c>
      <c r="O35" s="50">
        <f t="shared" si="6"/>
        <v>2.3181271793618135</v>
      </c>
      <c r="P35" s="26"/>
      <c r="Q35" s="26"/>
      <c r="R35" s="26"/>
      <c r="S35" s="26"/>
      <c r="T35" s="26"/>
      <c r="U35"/>
      <c r="V35"/>
    </row>
    <row r="36" spans="1:22" s="27" customFormat="1" ht="21.75" customHeight="1">
      <c r="A36" s="20"/>
      <c r="B36" s="46">
        <f>B35+1</f>
        <v>2</v>
      </c>
      <c r="C36" s="52" t="s">
        <v>526</v>
      </c>
      <c r="D36" s="43">
        <v>37907</v>
      </c>
      <c r="E36" s="44"/>
      <c r="F36" s="47"/>
      <c r="G36" s="44">
        <v>879525</v>
      </c>
      <c r="H36" s="45">
        <f>O63</f>
        <v>1.6168747452254344</v>
      </c>
      <c r="I36" s="44">
        <f>H36*G36</f>
        <v>1422081.7602944002</v>
      </c>
      <c r="J36" s="41" t="s">
        <v>195</v>
      </c>
      <c r="K36" s="21"/>
      <c r="L36" s="48">
        <v>37073</v>
      </c>
      <c r="M36" s="59">
        <v>1.48</v>
      </c>
      <c r="N36" s="24">
        <f aca="true" t="shared" si="7" ref="N36:N43">M36/100+1</f>
        <v>1.0148</v>
      </c>
      <c r="O36" s="50">
        <f>O37*N36</f>
        <v>2.2956300053097776</v>
      </c>
      <c r="P36" s="26"/>
      <c r="Q36" s="26"/>
      <c r="R36" s="26"/>
      <c r="S36" s="26"/>
      <c r="T36" s="26"/>
      <c r="U36"/>
      <c r="V36"/>
    </row>
    <row r="37" spans="1:22" s="27" customFormat="1" ht="21.75" customHeight="1">
      <c r="A37" s="20"/>
      <c r="B37" s="46">
        <f>B36+1</f>
        <v>3</v>
      </c>
      <c r="C37" s="52" t="s">
        <v>527</v>
      </c>
      <c r="D37" s="43">
        <v>37965</v>
      </c>
      <c r="E37" s="44"/>
      <c r="F37" s="47"/>
      <c r="G37" s="44">
        <v>1220623.3</v>
      </c>
      <c r="H37" s="45">
        <f>O65</f>
        <v>1.6028996720863886</v>
      </c>
      <c r="I37" s="44">
        <f>H37*G37</f>
        <v>1956536.6873110055</v>
      </c>
      <c r="J37" s="41" t="s">
        <v>195</v>
      </c>
      <c r="K37" s="21"/>
      <c r="L37" s="48">
        <v>37104</v>
      </c>
      <c r="M37" s="59">
        <v>1.38</v>
      </c>
      <c r="N37" s="24">
        <f t="shared" si="7"/>
        <v>1.0138</v>
      </c>
      <c r="O37" s="50">
        <f t="shared" si="6"/>
        <v>2.2621501826071913</v>
      </c>
      <c r="P37" s="26"/>
      <c r="Q37" s="26"/>
      <c r="R37" s="26"/>
      <c r="S37" s="26"/>
      <c r="T37" s="26"/>
      <c r="U37"/>
      <c r="V37"/>
    </row>
    <row r="38" spans="1:22" s="27" customFormat="1" ht="27" customHeight="1">
      <c r="A38" s="20"/>
      <c r="B38" s="46"/>
      <c r="C38" s="53"/>
      <c r="D38" s="680" t="s">
        <v>200</v>
      </c>
      <c r="E38" s="680"/>
      <c r="F38" s="680"/>
      <c r="G38" s="680"/>
      <c r="H38" s="686"/>
      <c r="I38" s="54">
        <f>SUM(I35:I37)</f>
        <v>7468503.115653142</v>
      </c>
      <c r="J38" s="55"/>
      <c r="K38" s="21"/>
      <c r="L38" s="48">
        <v>37135</v>
      </c>
      <c r="M38" s="59">
        <v>0.31</v>
      </c>
      <c r="N38" s="24">
        <f t="shared" si="7"/>
        <v>1.0031</v>
      </c>
      <c r="O38" s="50">
        <f t="shared" si="6"/>
        <v>2.231357449799952</v>
      </c>
      <c r="P38" s="26"/>
      <c r="Q38" s="26"/>
      <c r="R38" s="26"/>
      <c r="S38" s="26"/>
      <c r="T38" s="26"/>
      <c r="U38"/>
      <c r="V38"/>
    </row>
    <row r="39" spans="1:22" s="27" customFormat="1" ht="21.75" customHeight="1">
      <c r="A39" s="20"/>
      <c r="B39" s="46">
        <f>B45+1</f>
        <v>3</v>
      </c>
      <c r="C39" s="52" t="s">
        <v>123</v>
      </c>
      <c r="D39" s="43">
        <v>38007</v>
      </c>
      <c r="E39" s="57">
        <v>16000000</v>
      </c>
      <c r="F39" s="41">
        <v>1.71</v>
      </c>
      <c r="G39" s="44">
        <f>E39*F39</f>
        <v>27360000</v>
      </c>
      <c r="H39" s="45">
        <f>O66</f>
        <v>1.593181266361583</v>
      </c>
      <c r="I39" s="44">
        <f>H39*G39</f>
        <v>43589439.44765291</v>
      </c>
      <c r="J39" s="58" t="s">
        <v>195</v>
      </c>
      <c r="K39" s="21"/>
      <c r="L39" s="48">
        <v>37165</v>
      </c>
      <c r="M39" s="59">
        <v>1.18</v>
      </c>
      <c r="N39" s="24">
        <f t="shared" si="7"/>
        <v>1.0118</v>
      </c>
      <c r="O39" s="50">
        <f t="shared" si="6"/>
        <v>2.2244616187817283</v>
      </c>
      <c r="P39" s="26"/>
      <c r="Q39" s="26"/>
      <c r="R39" s="26"/>
      <c r="S39" s="26"/>
      <c r="T39" s="26"/>
      <c r="U39"/>
      <c r="V39"/>
    </row>
    <row r="40" spans="1:22" s="27" customFormat="1" ht="21.75" customHeight="1">
      <c r="A40" s="20"/>
      <c r="B40" s="46">
        <f aca="true" t="shared" si="8" ref="B40:B49">B39+1</f>
        <v>4</v>
      </c>
      <c r="C40" s="52" t="s">
        <v>124</v>
      </c>
      <c r="D40" s="43">
        <v>38056</v>
      </c>
      <c r="E40" s="44"/>
      <c r="F40" s="47"/>
      <c r="G40" s="44">
        <v>15601433</v>
      </c>
      <c r="H40" s="45">
        <f>O68</f>
        <v>1.5684611887350628</v>
      </c>
      <c r="I40" s="44">
        <f>H40*G40</f>
        <v>24470242.14915044</v>
      </c>
      <c r="J40" s="58" t="s">
        <v>195</v>
      </c>
      <c r="K40" s="21"/>
      <c r="L40" s="48">
        <v>37196</v>
      </c>
      <c r="M40" s="59">
        <v>1.1</v>
      </c>
      <c r="N40" s="24">
        <f t="shared" si="7"/>
        <v>1.011</v>
      </c>
      <c r="O40" s="50">
        <f t="shared" si="6"/>
        <v>2.19851909347868</v>
      </c>
      <c r="P40" s="26"/>
      <c r="Q40" s="26"/>
      <c r="R40" s="26"/>
      <c r="S40" s="26"/>
      <c r="T40" s="26"/>
      <c r="U40"/>
      <c r="V40"/>
    </row>
    <row r="41" spans="1:22" s="27" customFormat="1" ht="21.75" customHeight="1">
      <c r="A41" s="20"/>
      <c r="B41" s="46">
        <f t="shared" si="8"/>
        <v>5</v>
      </c>
      <c r="C41" s="52" t="s">
        <v>125</v>
      </c>
      <c r="D41" s="43">
        <v>38058</v>
      </c>
      <c r="E41" s="44"/>
      <c r="F41" s="47"/>
      <c r="G41" s="44">
        <v>550000</v>
      </c>
      <c r="H41" s="45">
        <f>O68</f>
        <v>1.5684611887350628</v>
      </c>
      <c r="I41" s="44">
        <f>H41*G41</f>
        <v>862653.6538042845</v>
      </c>
      <c r="J41" s="58" t="s">
        <v>195</v>
      </c>
      <c r="K41" s="21"/>
      <c r="L41" s="48">
        <v>37226</v>
      </c>
      <c r="M41" s="59">
        <v>0.22</v>
      </c>
      <c r="N41" s="24">
        <f t="shared" si="7"/>
        <v>1.0022</v>
      </c>
      <c r="O41" s="50">
        <f aca="true" t="shared" si="9" ref="O41:O49">O42*N41</f>
        <v>2.174598509870109</v>
      </c>
      <c r="P41" s="26"/>
      <c r="Q41" s="26"/>
      <c r="R41" s="26"/>
      <c r="S41" s="26"/>
      <c r="T41" s="26"/>
      <c r="U41"/>
      <c r="V41"/>
    </row>
    <row r="42" spans="1:22" s="27" customFormat="1" ht="21.75" customHeight="1">
      <c r="A42" s="20"/>
      <c r="B42" s="46">
        <f t="shared" si="8"/>
        <v>6</v>
      </c>
      <c r="C42" s="52" t="s">
        <v>126</v>
      </c>
      <c r="D42" s="43">
        <v>38078</v>
      </c>
      <c r="E42" s="57">
        <v>1053596.41</v>
      </c>
      <c r="F42" s="41">
        <v>1.71</v>
      </c>
      <c r="G42" s="44">
        <f>E42*F42</f>
        <v>1801649.8610999999</v>
      </c>
      <c r="H42" s="45">
        <f>O69</f>
        <v>1.550935616271198</v>
      </c>
      <c r="I42" s="44">
        <f>H42*G42</f>
        <v>2794242.9376300466</v>
      </c>
      <c r="J42" s="58" t="s">
        <v>195</v>
      </c>
      <c r="K42" s="21"/>
      <c r="L42" s="48">
        <v>37257</v>
      </c>
      <c r="M42" s="59">
        <v>0.36</v>
      </c>
      <c r="N42" s="24">
        <f t="shared" si="7"/>
        <v>1.0036</v>
      </c>
      <c r="O42" s="50">
        <f t="shared" si="9"/>
        <v>2.169824895100887</v>
      </c>
      <c r="P42" s="26"/>
      <c r="Q42" s="26"/>
      <c r="R42" s="26"/>
      <c r="S42" s="26"/>
      <c r="T42" s="26"/>
      <c r="U42"/>
      <c r="V42"/>
    </row>
    <row r="43" spans="1:22" s="27" customFormat="1" ht="21.75" customHeight="1">
      <c r="A43" s="20"/>
      <c r="B43" s="46">
        <f t="shared" si="8"/>
        <v>7</v>
      </c>
      <c r="C43" s="52" t="s">
        <v>127</v>
      </c>
      <c r="D43" s="43">
        <v>38113</v>
      </c>
      <c r="E43" s="44"/>
      <c r="F43" s="47"/>
      <c r="G43" s="44">
        <v>5936933.56</v>
      </c>
      <c r="H43" s="45">
        <f>O70</f>
        <v>1.5323936530690623</v>
      </c>
      <c r="I43" s="44">
        <f>H43*G43</f>
        <v>9097719.306036713</v>
      </c>
      <c r="J43" s="58" t="s">
        <v>532</v>
      </c>
      <c r="K43" s="21"/>
      <c r="L43" s="48">
        <v>37288</v>
      </c>
      <c r="M43" s="59">
        <v>0.06</v>
      </c>
      <c r="N43" s="24">
        <f t="shared" si="7"/>
        <v>1.0006</v>
      </c>
      <c r="O43" s="50">
        <f t="shared" si="9"/>
        <v>2.1620415455369537</v>
      </c>
      <c r="P43" s="26"/>
      <c r="Q43" s="26"/>
      <c r="R43" s="26"/>
      <c r="S43" s="26"/>
      <c r="T43" s="26"/>
      <c r="U43"/>
      <c r="V43"/>
    </row>
    <row r="44" spans="1:22" s="27" customFormat="1" ht="27" customHeight="1">
      <c r="A44" s="20"/>
      <c r="B44" s="46">
        <v>1</v>
      </c>
      <c r="C44" s="52" t="s">
        <v>171</v>
      </c>
      <c r="D44" s="192">
        <v>38124</v>
      </c>
      <c r="E44" s="189"/>
      <c r="F44" s="189"/>
      <c r="G44" s="76" t="s">
        <v>104</v>
      </c>
      <c r="H44" s="189"/>
      <c r="I44" s="33"/>
      <c r="J44" s="58" t="s">
        <v>532</v>
      </c>
      <c r="K44" s="21"/>
      <c r="L44" s="48">
        <v>37316</v>
      </c>
      <c r="M44" s="59">
        <v>0.09</v>
      </c>
      <c r="N44" s="24">
        <v>1.0009</v>
      </c>
      <c r="O44" s="50">
        <f t="shared" si="9"/>
        <v>2.160745098477867</v>
      </c>
      <c r="P44" s="26"/>
      <c r="Q44" s="26"/>
      <c r="R44" s="26"/>
      <c r="S44" s="26"/>
      <c r="T44" s="26"/>
      <c r="U44"/>
      <c r="V44"/>
    </row>
    <row r="45" spans="1:22" s="27" customFormat="1" ht="27" customHeight="1">
      <c r="A45" s="20"/>
      <c r="B45" s="46">
        <f>B44+1</f>
        <v>2</v>
      </c>
      <c r="C45" s="52" t="s">
        <v>173</v>
      </c>
      <c r="D45" s="192">
        <v>38203</v>
      </c>
      <c r="E45" s="189"/>
      <c r="F45" s="189"/>
      <c r="G45" s="76" t="s">
        <v>104</v>
      </c>
      <c r="H45" s="189"/>
      <c r="I45" s="33"/>
      <c r="J45" s="58" t="s">
        <v>195</v>
      </c>
      <c r="K45" s="21"/>
      <c r="L45" s="48">
        <v>37347</v>
      </c>
      <c r="M45" s="59">
        <v>0.56</v>
      </c>
      <c r="N45" s="24">
        <f aca="true" t="shared" si="10" ref="N45:N106">M45/100+1</f>
        <v>1.0056</v>
      </c>
      <c r="O45" s="50">
        <f t="shared" si="9"/>
        <v>2.1588021765190004</v>
      </c>
      <c r="P45" s="26"/>
      <c r="Q45" s="26"/>
      <c r="R45" s="26"/>
      <c r="S45" s="26"/>
      <c r="T45" s="26"/>
      <c r="U45"/>
      <c r="V45"/>
    </row>
    <row r="46" spans="1:22" s="27" customFormat="1" ht="21.75" customHeight="1">
      <c r="A46" s="20"/>
      <c r="B46" s="46">
        <f>B43+1</f>
        <v>8</v>
      </c>
      <c r="C46" s="52" t="s">
        <v>172</v>
      </c>
      <c r="D46" s="43">
        <v>38239</v>
      </c>
      <c r="E46" s="44"/>
      <c r="F46" s="47"/>
      <c r="G46" s="44">
        <v>1000000</v>
      </c>
      <c r="H46" s="45">
        <f>O74</f>
        <v>1.4549467339771824</v>
      </c>
      <c r="I46" s="44">
        <f>H46*G46</f>
        <v>1454946.7339771825</v>
      </c>
      <c r="J46" s="58" t="s">
        <v>195</v>
      </c>
      <c r="K46" s="21"/>
      <c r="L46" s="48">
        <v>37377</v>
      </c>
      <c r="M46" s="61">
        <v>0.83</v>
      </c>
      <c r="N46" s="24">
        <f>M46/100+1</f>
        <v>1.0083</v>
      </c>
      <c r="O46" s="50">
        <f t="shared" si="9"/>
        <v>2.146780207357797</v>
      </c>
      <c r="P46" s="26"/>
      <c r="Q46" s="26"/>
      <c r="R46" s="26"/>
      <c r="S46" s="26"/>
      <c r="T46" s="26"/>
      <c r="U46"/>
      <c r="V46"/>
    </row>
    <row r="47" spans="1:22" s="27" customFormat="1" ht="21.75" customHeight="1">
      <c r="A47" s="20"/>
      <c r="B47" s="46">
        <f t="shared" si="8"/>
        <v>9</v>
      </c>
      <c r="C47" s="52" t="s">
        <v>176</v>
      </c>
      <c r="D47" s="43">
        <v>38240</v>
      </c>
      <c r="E47" s="60">
        <v>323916.88</v>
      </c>
      <c r="F47" s="41">
        <v>2.31</v>
      </c>
      <c r="G47" s="44">
        <f>E47*F47</f>
        <v>748247.9928</v>
      </c>
      <c r="H47" s="45">
        <f>O74</f>
        <v>1.4549467339771824</v>
      </c>
      <c r="I47" s="44">
        <f>H47*G47</f>
        <v>1088660.9733293424</v>
      </c>
      <c r="J47" s="58" t="s">
        <v>195</v>
      </c>
      <c r="K47" s="21"/>
      <c r="L47" s="48">
        <v>37408</v>
      </c>
      <c r="M47" s="61">
        <v>1.54</v>
      </c>
      <c r="N47" s="24">
        <f>M47/100+1</f>
        <v>1.0154</v>
      </c>
      <c r="O47" s="50">
        <f t="shared" si="9"/>
        <v>2.1291086059285895</v>
      </c>
      <c r="P47" s="26"/>
      <c r="Q47" s="26"/>
      <c r="R47" s="26"/>
      <c r="S47" s="26"/>
      <c r="T47" s="26"/>
      <c r="U47"/>
      <c r="V47"/>
    </row>
    <row r="48" spans="1:22" s="27" customFormat="1" ht="21.75" customHeight="1">
      <c r="A48" s="20"/>
      <c r="B48" s="46">
        <f>B47+1</f>
        <v>10</v>
      </c>
      <c r="C48" s="52" t="s">
        <v>528</v>
      </c>
      <c r="D48" s="43">
        <v>38250</v>
      </c>
      <c r="E48" s="44"/>
      <c r="F48" s="47"/>
      <c r="G48" s="44">
        <v>7310702.67</v>
      </c>
      <c r="H48" s="45">
        <f>O74</f>
        <v>1.4549467339771824</v>
      </c>
      <c r="I48" s="44">
        <f>H48*G48</f>
        <v>10636682.972794767</v>
      </c>
      <c r="J48" s="58" t="s">
        <v>195</v>
      </c>
      <c r="K48" s="21"/>
      <c r="L48" s="48">
        <v>37438</v>
      </c>
      <c r="M48" s="61">
        <v>1.95</v>
      </c>
      <c r="N48" s="24">
        <f>M48/100+1</f>
        <v>1.0195</v>
      </c>
      <c r="O48" s="50">
        <f t="shared" si="9"/>
        <v>2.0968176146627826</v>
      </c>
      <c r="P48" s="26"/>
      <c r="Q48" s="26"/>
      <c r="R48" s="26"/>
      <c r="S48" s="26"/>
      <c r="T48" s="26"/>
      <c r="U48"/>
      <c r="V48"/>
    </row>
    <row r="49" spans="1:22" s="27" customFormat="1" ht="21.75" customHeight="1">
      <c r="A49" s="20"/>
      <c r="B49" s="46">
        <f t="shared" si="8"/>
        <v>11</v>
      </c>
      <c r="C49" s="52" t="s">
        <v>529</v>
      </c>
      <c r="D49" s="43">
        <v>38280</v>
      </c>
      <c r="E49" s="57">
        <v>4962800</v>
      </c>
      <c r="F49" s="41">
        <v>1.71</v>
      </c>
      <c r="G49" s="44">
        <f>E49*F49</f>
        <v>8486388</v>
      </c>
      <c r="H49" s="45">
        <f>O75</f>
        <v>1.4449763968389935</v>
      </c>
      <c r="I49" s="44">
        <f>H49*G49</f>
        <v>12262630.354417672</v>
      </c>
      <c r="J49" s="58" t="s">
        <v>195</v>
      </c>
      <c r="K49" s="21"/>
      <c r="L49" s="48">
        <v>37469</v>
      </c>
      <c r="M49" s="61">
        <v>2.32</v>
      </c>
      <c r="N49" s="24">
        <f t="shared" si="10"/>
        <v>1.0232</v>
      </c>
      <c r="O49" s="50">
        <f t="shared" si="9"/>
        <v>2.056711735814402</v>
      </c>
      <c r="P49" s="26"/>
      <c r="Q49" s="26"/>
      <c r="R49" s="26"/>
      <c r="S49" s="26"/>
      <c r="T49" s="26"/>
      <c r="U49"/>
      <c r="V49"/>
    </row>
    <row r="50" spans="1:22" s="27" customFormat="1" ht="27" customHeight="1">
      <c r="A50" s="20"/>
      <c r="B50" s="46"/>
      <c r="C50" s="53"/>
      <c r="D50" s="680" t="s">
        <v>201</v>
      </c>
      <c r="E50" s="680"/>
      <c r="F50" s="680"/>
      <c r="G50" s="680"/>
      <c r="H50" s="686"/>
      <c r="I50" s="54">
        <f>SUM(I39:I49)</f>
        <v>106257218.52879335</v>
      </c>
      <c r="J50" s="55"/>
      <c r="K50" s="21"/>
      <c r="L50" s="48">
        <v>37500</v>
      </c>
      <c r="M50" s="61">
        <v>2.4</v>
      </c>
      <c r="N50" s="24">
        <f t="shared" si="10"/>
        <v>1.024</v>
      </c>
      <c r="O50" s="50">
        <f>O52*N50</f>
        <v>2.0100779278874135</v>
      </c>
      <c r="P50" s="26"/>
      <c r="Q50" s="26"/>
      <c r="R50" s="26"/>
      <c r="S50" s="26"/>
      <c r="T50" s="26"/>
      <c r="U50"/>
      <c r="V50"/>
    </row>
    <row r="51" spans="2:22" s="190" customFormat="1" ht="27" customHeight="1">
      <c r="B51" s="46">
        <v>1</v>
      </c>
      <c r="C51" s="52" t="s">
        <v>128</v>
      </c>
      <c r="D51" s="76">
        <v>38380</v>
      </c>
      <c r="E51" s="76"/>
      <c r="F51" s="76"/>
      <c r="G51" s="76" t="s">
        <v>104</v>
      </c>
      <c r="H51" s="76"/>
      <c r="I51" s="72"/>
      <c r="J51" s="58" t="s">
        <v>195</v>
      </c>
      <c r="K51" s="191"/>
      <c r="L51" s="48">
        <v>37591</v>
      </c>
      <c r="M51" s="61">
        <v>3.75</v>
      </c>
      <c r="N51" s="24">
        <f aca="true" t="shared" si="11" ref="N51:N61">M51/100+1</f>
        <v>1.0375</v>
      </c>
      <c r="O51" s="50">
        <f>O55*N51</f>
        <v>1.7965874076166624</v>
      </c>
      <c r="P51" s="191"/>
      <c r="Q51" s="191"/>
      <c r="R51" s="191"/>
      <c r="S51" s="191"/>
      <c r="T51" s="191"/>
      <c r="U51"/>
      <c r="V51"/>
    </row>
    <row r="52" spans="1:22" s="27" customFormat="1" ht="21.75" customHeight="1">
      <c r="A52" s="20"/>
      <c r="B52" s="46">
        <f>B51+1</f>
        <v>2</v>
      </c>
      <c r="C52" s="52" t="s">
        <v>129</v>
      </c>
      <c r="D52" s="43">
        <v>38393</v>
      </c>
      <c r="E52" s="44"/>
      <c r="F52" s="47"/>
      <c r="G52" s="44">
        <v>2750000</v>
      </c>
      <c r="H52" s="45">
        <f>O79</f>
        <v>1.4116635626989757</v>
      </c>
      <c r="I52" s="44">
        <f>H52*G52</f>
        <v>3882074.797422183</v>
      </c>
      <c r="J52" s="58" t="s">
        <v>195</v>
      </c>
      <c r="K52" s="21"/>
      <c r="L52" s="48">
        <v>37530</v>
      </c>
      <c r="M52" s="61">
        <v>3.87</v>
      </c>
      <c r="N52" s="24">
        <f t="shared" si="11"/>
        <v>1.0387</v>
      </c>
      <c r="O52" s="50">
        <f>O53*N52</f>
        <v>1.9629667264525523</v>
      </c>
      <c r="P52" s="26"/>
      <c r="Q52" s="26"/>
      <c r="R52" s="26"/>
      <c r="S52" s="26"/>
      <c r="T52" s="26"/>
      <c r="U52"/>
      <c r="V52"/>
    </row>
    <row r="53" spans="1:22" s="27" customFormat="1" ht="21.75" customHeight="1">
      <c r="A53" s="20"/>
      <c r="B53" s="46">
        <f aca="true" t="shared" si="12" ref="B53:B58">B52+1</f>
        <v>3</v>
      </c>
      <c r="C53" s="52" t="s">
        <v>130</v>
      </c>
      <c r="D53" s="43">
        <v>38427</v>
      </c>
      <c r="E53" s="44"/>
      <c r="F53" s="47"/>
      <c r="G53" s="44">
        <v>3401974.02</v>
      </c>
      <c r="H53" s="45">
        <f>O80</f>
        <v>1.4074412389820299</v>
      </c>
      <c r="I53" s="44">
        <f>H53*G53</f>
        <v>4788078.529693477</v>
      </c>
      <c r="J53" s="58" t="s">
        <v>195</v>
      </c>
      <c r="K53" s="21"/>
      <c r="L53" s="48">
        <v>37561</v>
      </c>
      <c r="M53" s="61">
        <v>5.19</v>
      </c>
      <c r="N53" s="24">
        <f t="shared" si="11"/>
        <v>1.0519</v>
      </c>
      <c r="O53" s="50">
        <f>O51*N53</f>
        <v>1.8898302940719673</v>
      </c>
      <c r="P53" s="26"/>
      <c r="Q53" s="26"/>
      <c r="R53" s="26"/>
      <c r="S53" s="26"/>
      <c r="T53" s="26"/>
      <c r="U53"/>
      <c r="V53"/>
    </row>
    <row r="54" spans="1:22" s="27" customFormat="1" ht="21.75" customHeight="1">
      <c r="A54" s="20"/>
      <c r="B54" s="46">
        <f t="shared" si="12"/>
        <v>4</v>
      </c>
      <c r="C54" s="52" t="s">
        <v>132</v>
      </c>
      <c r="D54" s="43">
        <v>38448</v>
      </c>
      <c r="E54" s="44"/>
      <c r="F54" s="47"/>
      <c r="G54" s="44">
        <v>2000000</v>
      </c>
      <c r="H54" s="45">
        <f>O81</f>
        <v>1.3955788190203569</v>
      </c>
      <c r="I54" s="44">
        <f>H54*G54</f>
        <v>2791157.6380407135</v>
      </c>
      <c r="J54" s="58" t="s">
        <v>532</v>
      </c>
      <c r="K54" s="21"/>
      <c r="L54" s="48">
        <v>37681</v>
      </c>
      <c r="M54" s="61">
        <v>1.53</v>
      </c>
      <c r="N54" s="24">
        <f t="shared" si="11"/>
        <v>1.0153</v>
      </c>
      <c r="O54" s="50">
        <f>O57*N54</f>
        <v>1.654499165690351</v>
      </c>
      <c r="P54" s="26"/>
      <c r="Q54" s="26"/>
      <c r="R54" s="26"/>
      <c r="S54" s="26"/>
      <c r="T54" s="26"/>
      <c r="U54"/>
      <c r="V54"/>
    </row>
    <row r="55" spans="1:22" s="27" customFormat="1" ht="21.75" customHeight="1">
      <c r="A55" s="20"/>
      <c r="B55" s="46">
        <f t="shared" si="12"/>
        <v>5</v>
      </c>
      <c r="C55" s="52" t="s">
        <v>133</v>
      </c>
      <c r="D55" s="43">
        <v>38416</v>
      </c>
      <c r="E55" s="44"/>
      <c r="F55" s="47"/>
      <c r="G55" s="44" t="s">
        <v>104</v>
      </c>
      <c r="H55" s="45"/>
      <c r="I55" s="44"/>
      <c r="J55" s="58" t="s">
        <v>195</v>
      </c>
      <c r="K55" s="21"/>
      <c r="L55" s="48">
        <v>37622</v>
      </c>
      <c r="M55" s="61">
        <v>2.33</v>
      </c>
      <c r="N55" s="24">
        <f t="shared" si="11"/>
        <v>1.0233</v>
      </c>
      <c r="O55" s="50">
        <f>O56*N55</f>
        <v>1.7316505133654576</v>
      </c>
      <c r="P55" s="26"/>
      <c r="Q55" s="26"/>
      <c r="R55" s="26"/>
      <c r="S55" s="26"/>
      <c r="T55" s="26"/>
      <c r="U55"/>
      <c r="V55"/>
    </row>
    <row r="56" spans="1:22" s="27" customFormat="1" ht="21.75" customHeight="1">
      <c r="A56" s="20"/>
      <c r="B56" s="46">
        <f t="shared" si="12"/>
        <v>6</v>
      </c>
      <c r="C56" s="52" t="s">
        <v>134</v>
      </c>
      <c r="D56" s="43">
        <v>38478</v>
      </c>
      <c r="E56" s="44"/>
      <c r="F56" s="47"/>
      <c r="G56" s="44">
        <v>2098000</v>
      </c>
      <c r="H56" s="45">
        <f>O82</f>
        <v>1.3836791780887934</v>
      </c>
      <c r="I56" s="44">
        <f>H56*G56</f>
        <v>2902958.9156302884</v>
      </c>
      <c r="J56" s="58" t="s">
        <v>532</v>
      </c>
      <c r="K56" s="21"/>
      <c r="L56" s="48">
        <v>37653</v>
      </c>
      <c r="M56" s="61">
        <v>2.28</v>
      </c>
      <c r="N56" s="24">
        <f t="shared" si="11"/>
        <v>1.0228</v>
      </c>
      <c r="O56" s="50">
        <f>O54*N56</f>
        <v>1.6922217466680909</v>
      </c>
      <c r="P56" s="26"/>
      <c r="Q56" s="26"/>
      <c r="R56" s="26"/>
      <c r="S56" s="26"/>
      <c r="T56" s="26"/>
      <c r="U56"/>
      <c r="V56"/>
    </row>
    <row r="57" spans="1:22" s="27" customFormat="1" ht="21.75" customHeight="1">
      <c r="A57" s="20"/>
      <c r="B57" s="46">
        <f t="shared" si="12"/>
        <v>7</v>
      </c>
      <c r="C57" s="52" t="s">
        <v>135</v>
      </c>
      <c r="D57" s="43">
        <v>38478</v>
      </c>
      <c r="E57" s="44"/>
      <c r="F57" s="47"/>
      <c r="G57" s="44">
        <v>8523831.06</v>
      </c>
      <c r="H57" s="45">
        <f>O82</f>
        <v>1.3836791780887934</v>
      </c>
      <c r="I57" s="44">
        <f>H57*G57</f>
        <v>11794247.55526853</v>
      </c>
      <c r="J57" s="58" t="s">
        <v>195</v>
      </c>
      <c r="K57" s="21"/>
      <c r="L57" s="48">
        <v>37712</v>
      </c>
      <c r="M57" s="61">
        <v>0.92</v>
      </c>
      <c r="N57" s="24">
        <f t="shared" si="11"/>
        <v>1.0092</v>
      </c>
      <c r="O57" s="50">
        <f aca="true" t="shared" si="13" ref="O57:O65">O58*N57</f>
        <v>1.6295667937460365</v>
      </c>
      <c r="P57" s="26"/>
      <c r="Q57" s="26"/>
      <c r="R57" s="26"/>
      <c r="S57" s="26"/>
      <c r="T57" s="26"/>
      <c r="U57"/>
      <c r="V57"/>
    </row>
    <row r="58" spans="1:22" s="27" customFormat="1" ht="21.75" customHeight="1">
      <c r="A58" s="20"/>
      <c r="B58" s="46">
        <f t="shared" si="12"/>
        <v>8</v>
      </c>
      <c r="C58" s="52" t="s">
        <v>131</v>
      </c>
      <c r="D58" s="43">
        <v>38506</v>
      </c>
      <c r="E58" s="44"/>
      <c r="F58" s="47"/>
      <c r="G58" s="44">
        <v>2000000</v>
      </c>
      <c r="H58" s="45">
        <f>O83</f>
        <v>1.3867299840537115</v>
      </c>
      <c r="I58" s="44">
        <f>H58*G58</f>
        <v>2773459.968107423</v>
      </c>
      <c r="J58" s="58" t="s">
        <v>195</v>
      </c>
      <c r="K58" s="21"/>
      <c r="L58" s="48">
        <v>37742</v>
      </c>
      <c r="M58" s="61">
        <v>-0.26</v>
      </c>
      <c r="N58" s="24">
        <f t="shared" si="11"/>
        <v>0.9974</v>
      </c>
      <c r="O58" s="50">
        <f t="shared" si="13"/>
        <v>1.6147114484205671</v>
      </c>
      <c r="P58" s="26"/>
      <c r="Q58" s="26"/>
      <c r="R58" s="26"/>
      <c r="S58" s="26"/>
      <c r="T58" s="26"/>
      <c r="U58"/>
      <c r="V58"/>
    </row>
    <row r="59" spans="1:22" s="27" customFormat="1" ht="21.75" customHeight="1">
      <c r="A59" s="20"/>
      <c r="B59" s="46">
        <f>B58+1</f>
        <v>9</v>
      </c>
      <c r="C59" s="52" t="s">
        <v>6</v>
      </c>
      <c r="D59" s="43">
        <v>38517</v>
      </c>
      <c r="E59" s="44"/>
      <c r="F59" s="47"/>
      <c r="G59" s="44" t="s">
        <v>104</v>
      </c>
      <c r="H59" s="45"/>
      <c r="I59" s="44"/>
      <c r="J59" s="58" t="s">
        <v>195</v>
      </c>
      <c r="K59" s="21"/>
      <c r="L59" s="48">
        <v>37773</v>
      </c>
      <c r="M59" s="61">
        <v>-1</v>
      </c>
      <c r="N59" s="24">
        <f t="shared" si="11"/>
        <v>0.99</v>
      </c>
      <c r="O59" s="50">
        <f t="shared" si="13"/>
        <v>1.6189206420900013</v>
      </c>
      <c r="P59" s="26"/>
      <c r="Q59" s="26"/>
      <c r="R59" s="26"/>
      <c r="S59" s="26"/>
      <c r="T59" s="26"/>
      <c r="U59"/>
      <c r="V59"/>
    </row>
    <row r="60" spans="1:22" s="27" customFormat="1" ht="21.75" customHeight="1">
      <c r="A60" s="20"/>
      <c r="B60" s="46">
        <f>B59+1</f>
        <v>10</v>
      </c>
      <c r="C60" s="52" t="s">
        <v>7</v>
      </c>
      <c r="D60" s="43">
        <v>38548</v>
      </c>
      <c r="E60" s="44"/>
      <c r="F60" s="47"/>
      <c r="G60" s="44" t="s">
        <v>104</v>
      </c>
      <c r="H60" s="45"/>
      <c r="I60" s="44"/>
      <c r="J60" s="58" t="s">
        <v>195</v>
      </c>
      <c r="K60" s="21"/>
      <c r="L60" s="48">
        <v>37803</v>
      </c>
      <c r="M60" s="61">
        <v>-0.42</v>
      </c>
      <c r="N60" s="24">
        <f t="shared" si="11"/>
        <v>0.9958</v>
      </c>
      <c r="O60" s="50">
        <f t="shared" si="13"/>
        <v>1.635273375848486</v>
      </c>
      <c r="P60" s="26"/>
      <c r="Q60" s="26"/>
      <c r="R60" s="26"/>
      <c r="S60" s="26"/>
      <c r="T60" s="26"/>
      <c r="U60"/>
      <c r="V60"/>
    </row>
    <row r="61" spans="1:22" s="27" customFormat="1" ht="21.75" customHeight="1">
      <c r="A61" s="20"/>
      <c r="B61" s="46">
        <f>B60+1</f>
        <v>11</v>
      </c>
      <c r="C61" s="52" t="s">
        <v>8</v>
      </c>
      <c r="D61" s="43">
        <v>38635</v>
      </c>
      <c r="E61" s="44"/>
      <c r="F61" s="47"/>
      <c r="G61" s="44">
        <v>8000000</v>
      </c>
      <c r="H61" s="45">
        <f>O87</f>
        <v>1.4142498647075328</v>
      </c>
      <c r="I61" s="44">
        <f>H61*G61</f>
        <v>11313998.917660262</v>
      </c>
      <c r="J61" s="58" t="s">
        <v>195</v>
      </c>
      <c r="K61" s="21"/>
      <c r="L61" s="48">
        <v>37834</v>
      </c>
      <c r="M61" s="61">
        <v>0.38</v>
      </c>
      <c r="N61" s="24">
        <f t="shared" si="11"/>
        <v>1.0038</v>
      </c>
      <c r="O61" s="50">
        <f t="shared" si="13"/>
        <v>1.642170491914527</v>
      </c>
      <c r="P61" s="26"/>
      <c r="Q61" s="26"/>
      <c r="R61" s="26"/>
      <c r="S61" s="26"/>
      <c r="T61" s="26"/>
      <c r="U61"/>
      <c r="V61"/>
    </row>
    <row r="62" spans="2:15" ht="21.75" customHeight="1">
      <c r="B62" s="46">
        <f>B61+1</f>
        <v>12</v>
      </c>
      <c r="C62" s="52" t="s">
        <v>530</v>
      </c>
      <c r="D62" s="43">
        <v>38693</v>
      </c>
      <c r="E62" s="44"/>
      <c r="F62" s="47"/>
      <c r="G62" s="44" t="s">
        <v>104</v>
      </c>
      <c r="H62" s="45"/>
      <c r="I62" s="44"/>
      <c r="J62" s="58" t="s">
        <v>195</v>
      </c>
      <c r="L62" s="48">
        <v>37865</v>
      </c>
      <c r="M62" s="61">
        <v>1.18</v>
      </c>
      <c r="N62" s="24">
        <f t="shared" si="10"/>
        <v>1.0118</v>
      </c>
      <c r="O62" s="50">
        <f t="shared" si="13"/>
        <v>1.6359538672190945</v>
      </c>
    </row>
    <row r="63" spans="1:22" s="27" customFormat="1" ht="21.75" customHeight="1">
      <c r="A63" s="20"/>
      <c r="B63" s="46">
        <f>B62+1</f>
        <v>13</v>
      </c>
      <c r="C63" s="52" t="s">
        <v>531</v>
      </c>
      <c r="D63" s="43">
        <v>38702</v>
      </c>
      <c r="E63" s="44"/>
      <c r="F63" s="47"/>
      <c r="G63" s="44">
        <v>6545678.45</v>
      </c>
      <c r="H63" s="45">
        <f>O89</f>
        <v>1.400214118384843</v>
      </c>
      <c r="I63" s="44">
        <f>H63*G63</f>
        <v>9165351.380097417</v>
      </c>
      <c r="J63" s="58" t="s">
        <v>195</v>
      </c>
      <c r="K63" s="21"/>
      <c r="L63" s="48">
        <v>37895</v>
      </c>
      <c r="M63" s="61">
        <v>0.38</v>
      </c>
      <c r="N63" s="24">
        <f t="shared" si="10"/>
        <v>1.0038</v>
      </c>
      <c r="O63" s="50">
        <f t="shared" si="13"/>
        <v>1.6168747452254344</v>
      </c>
      <c r="P63" s="26"/>
      <c r="Q63" s="26"/>
      <c r="R63" s="26"/>
      <c r="S63" s="26"/>
      <c r="T63" s="26"/>
      <c r="U63"/>
      <c r="V63"/>
    </row>
    <row r="64" spans="1:22" s="27" customFormat="1" ht="27" customHeight="1">
      <c r="A64" s="20"/>
      <c r="B64" s="46"/>
      <c r="C64" s="53"/>
      <c r="D64" s="680" t="s">
        <v>202</v>
      </c>
      <c r="E64" s="680"/>
      <c r="F64" s="680"/>
      <c r="G64" s="680"/>
      <c r="H64" s="686"/>
      <c r="I64" s="54">
        <f>SUM(I52:I63)</f>
        <v>49411327.7019203</v>
      </c>
      <c r="J64" s="55"/>
      <c r="K64" s="21"/>
      <c r="L64" s="48">
        <v>37926</v>
      </c>
      <c r="M64" s="61">
        <v>0.49</v>
      </c>
      <c r="N64" s="24">
        <f t="shared" si="10"/>
        <v>1.0049</v>
      </c>
      <c r="O64" s="50">
        <f t="shared" si="13"/>
        <v>1.6107538804796118</v>
      </c>
      <c r="P64" s="26"/>
      <c r="Q64" s="26"/>
      <c r="R64" s="26"/>
      <c r="S64" s="26"/>
      <c r="T64" s="26"/>
      <c r="U64"/>
      <c r="V64"/>
    </row>
    <row r="65" spans="1:22" s="27" customFormat="1" ht="21.75" customHeight="1">
      <c r="A65" s="20"/>
      <c r="B65" s="46">
        <v>1</v>
      </c>
      <c r="C65" s="52" t="s">
        <v>136</v>
      </c>
      <c r="D65" s="43">
        <v>38806</v>
      </c>
      <c r="E65" s="44"/>
      <c r="F65" s="47"/>
      <c r="G65" s="44">
        <v>70056000</v>
      </c>
      <c r="H65" s="45">
        <f>O92</f>
        <v>1.3874495961028384</v>
      </c>
      <c r="I65" s="44">
        <f>H65*G65</f>
        <v>97199168.90458044</v>
      </c>
      <c r="J65" s="58" t="s">
        <v>195</v>
      </c>
      <c r="K65" s="21"/>
      <c r="L65" s="48">
        <v>37956</v>
      </c>
      <c r="M65" s="61">
        <v>0.61</v>
      </c>
      <c r="N65" s="24">
        <f t="shared" si="10"/>
        <v>1.0061</v>
      </c>
      <c r="O65" s="50">
        <f t="shared" si="13"/>
        <v>1.6028996720863886</v>
      </c>
      <c r="P65" s="26"/>
      <c r="Q65" s="26"/>
      <c r="R65" s="26"/>
      <c r="S65" s="26"/>
      <c r="T65" s="26"/>
      <c r="U65"/>
      <c r="V65"/>
    </row>
    <row r="66" spans="1:22" s="27" customFormat="1" ht="21.75" customHeight="1">
      <c r="A66" s="20"/>
      <c r="B66" s="46">
        <f>B65+1</f>
        <v>2</v>
      </c>
      <c r="C66" s="52" t="s">
        <v>137</v>
      </c>
      <c r="D66" s="192">
        <v>38744</v>
      </c>
      <c r="E66" s="44"/>
      <c r="F66" s="47"/>
      <c r="G66" s="44" t="s">
        <v>104</v>
      </c>
      <c r="H66" s="45"/>
      <c r="I66" s="44"/>
      <c r="J66" s="58" t="s">
        <v>195</v>
      </c>
      <c r="K66" s="21"/>
      <c r="L66" s="48">
        <v>37987</v>
      </c>
      <c r="M66" s="61">
        <v>0.88</v>
      </c>
      <c r="N66" s="24">
        <f t="shared" si="10"/>
        <v>1.0088</v>
      </c>
      <c r="O66" s="50">
        <f aca="true" t="shared" si="14" ref="O66:O129">O67*N66</f>
        <v>1.593181266361583</v>
      </c>
      <c r="P66" s="26"/>
      <c r="Q66" s="26"/>
      <c r="R66" s="26"/>
      <c r="S66" s="26"/>
      <c r="T66" s="26"/>
      <c r="U66"/>
      <c r="V66"/>
    </row>
    <row r="67" spans="1:22" s="27" customFormat="1" ht="21.75" customHeight="1">
      <c r="A67" s="20"/>
      <c r="B67" s="46">
        <f aca="true" t="shared" si="15" ref="B67:B85">B66+1</f>
        <v>3</v>
      </c>
      <c r="C67" s="52" t="s">
        <v>138</v>
      </c>
      <c r="D67" s="192">
        <v>38740</v>
      </c>
      <c r="E67" s="44"/>
      <c r="F67" s="47"/>
      <c r="G67" s="44" t="s">
        <v>104</v>
      </c>
      <c r="H67" s="45"/>
      <c r="I67" s="44"/>
      <c r="J67" s="58" t="s">
        <v>195</v>
      </c>
      <c r="K67" s="21"/>
      <c r="L67" s="48">
        <v>38018</v>
      </c>
      <c r="M67" s="61">
        <v>0.69</v>
      </c>
      <c r="N67" s="24">
        <f t="shared" si="10"/>
        <v>1.0069</v>
      </c>
      <c r="O67" s="50">
        <f>O68*N67</f>
        <v>1.5792835709373345</v>
      </c>
      <c r="P67" s="26"/>
      <c r="Q67" s="26"/>
      <c r="R67" s="26"/>
      <c r="S67" s="26"/>
      <c r="T67" s="26"/>
      <c r="U67"/>
      <c r="V67"/>
    </row>
    <row r="68" spans="1:22" s="27" customFormat="1" ht="21.75" customHeight="1">
      <c r="A68" s="20"/>
      <c r="B68" s="46">
        <f t="shared" si="15"/>
        <v>4</v>
      </c>
      <c r="C68" s="52" t="s">
        <v>139</v>
      </c>
      <c r="D68" s="43">
        <v>38757</v>
      </c>
      <c r="E68" s="44"/>
      <c r="F68" s="47"/>
      <c r="G68" s="44">
        <v>2000000</v>
      </c>
      <c r="H68" s="45">
        <f>O91</f>
        <v>1.3875883410624485</v>
      </c>
      <c r="I68" s="44">
        <f>H68*G68</f>
        <v>2775176.682124897</v>
      </c>
      <c r="J68" s="58" t="s">
        <v>195</v>
      </c>
      <c r="K68" s="21"/>
      <c r="L68" s="48">
        <v>38047</v>
      </c>
      <c r="M68" s="61">
        <v>1.13</v>
      </c>
      <c r="N68" s="24">
        <f t="shared" si="10"/>
        <v>1.0113</v>
      </c>
      <c r="O68" s="50">
        <f t="shared" si="14"/>
        <v>1.5684611887350628</v>
      </c>
      <c r="P68" s="26"/>
      <c r="Q68" s="26"/>
      <c r="R68" s="26"/>
      <c r="S68" s="26"/>
      <c r="T68" s="26"/>
      <c r="U68"/>
      <c r="V68"/>
    </row>
    <row r="69" spans="1:22" s="27" customFormat="1" ht="21.75" customHeight="1">
      <c r="A69" s="20"/>
      <c r="B69" s="46">
        <f t="shared" si="15"/>
        <v>5</v>
      </c>
      <c r="C69" s="52" t="s">
        <v>140</v>
      </c>
      <c r="D69" s="43">
        <v>38764</v>
      </c>
      <c r="E69" s="44"/>
      <c r="F69" s="47"/>
      <c r="G69" s="44" t="s">
        <v>104</v>
      </c>
      <c r="H69" s="45"/>
      <c r="I69" s="44"/>
      <c r="J69" s="58" t="s">
        <v>195</v>
      </c>
      <c r="K69" s="21"/>
      <c r="L69" s="48">
        <v>38078</v>
      </c>
      <c r="M69" s="61">
        <v>1.21</v>
      </c>
      <c r="N69" s="24">
        <f t="shared" si="10"/>
        <v>1.0121</v>
      </c>
      <c r="O69" s="50">
        <f t="shared" si="14"/>
        <v>1.550935616271198</v>
      </c>
      <c r="P69" s="26"/>
      <c r="Q69" s="26"/>
      <c r="R69" s="26"/>
      <c r="S69" s="26"/>
      <c r="T69" s="26"/>
      <c r="U69"/>
      <c r="V69"/>
    </row>
    <row r="70" spans="1:22" s="27" customFormat="1" ht="21.75" customHeight="1">
      <c r="A70" s="20"/>
      <c r="B70" s="46">
        <f t="shared" si="15"/>
        <v>6</v>
      </c>
      <c r="C70" s="52" t="s">
        <v>141</v>
      </c>
      <c r="D70" s="43">
        <v>38799</v>
      </c>
      <c r="E70" s="44"/>
      <c r="F70" s="47"/>
      <c r="G70" s="44">
        <v>6416862.74</v>
      </c>
      <c r="H70" s="45">
        <f>O92</f>
        <v>1.3874495961028384</v>
      </c>
      <c r="I70" s="44">
        <f>H70*G70</f>
        <v>8903073.616860352</v>
      </c>
      <c r="J70" s="58" t="s">
        <v>195</v>
      </c>
      <c r="K70" s="21"/>
      <c r="L70" s="48">
        <v>38108</v>
      </c>
      <c r="M70" s="61">
        <v>1.31</v>
      </c>
      <c r="N70" s="24">
        <f t="shared" si="10"/>
        <v>1.0131000000000001</v>
      </c>
      <c r="O70" s="50">
        <f>O71*N70</f>
        <v>1.5323936530690623</v>
      </c>
      <c r="P70" s="26"/>
      <c r="Q70" s="26"/>
      <c r="R70" s="26"/>
      <c r="S70" s="26"/>
      <c r="T70" s="26"/>
      <c r="U70"/>
      <c r="V70"/>
    </row>
    <row r="71" spans="1:22" s="27" customFormat="1" ht="21.75" customHeight="1">
      <c r="A71" s="20"/>
      <c r="B71" s="46">
        <f t="shared" si="15"/>
        <v>7</v>
      </c>
      <c r="C71" s="52" t="s">
        <v>142</v>
      </c>
      <c r="D71" s="43">
        <v>38911</v>
      </c>
      <c r="E71" s="44"/>
      <c r="F71" s="47"/>
      <c r="G71" s="44">
        <v>9000000</v>
      </c>
      <c r="H71" s="45">
        <f>O96</f>
        <v>1.3808702544856002</v>
      </c>
      <c r="I71" s="44">
        <f>H71*G71</f>
        <v>12427832.290370401</v>
      </c>
      <c r="J71" s="58" t="s">
        <v>195</v>
      </c>
      <c r="K71" s="21"/>
      <c r="L71" s="48">
        <v>38139</v>
      </c>
      <c r="M71" s="61">
        <v>1.38</v>
      </c>
      <c r="N71" s="24">
        <f t="shared" si="10"/>
        <v>1.0138</v>
      </c>
      <c r="O71" s="50">
        <f>O72*N71</f>
        <v>1.5125788698737164</v>
      </c>
      <c r="P71" s="26"/>
      <c r="Q71" s="26"/>
      <c r="R71" s="26"/>
      <c r="S71" s="26"/>
      <c r="T71" s="26"/>
      <c r="U71"/>
      <c r="V71"/>
    </row>
    <row r="72" spans="1:22" s="27" customFormat="1" ht="21.75" customHeight="1">
      <c r="A72" s="20"/>
      <c r="B72" s="46">
        <f t="shared" si="15"/>
        <v>8</v>
      </c>
      <c r="C72" s="52" t="s">
        <v>143</v>
      </c>
      <c r="D72" s="43">
        <v>38892</v>
      </c>
      <c r="E72" s="44"/>
      <c r="F72" s="47"/>
      <c r="G72" s="44" t="s">
        <v>104</v>
      </c>
      <c r="H72" s="45"/>
      <c r="I72" s="44"/>
      <c r="J72" s="58" t="s">
        <v>195</v>
      </c>
      <c r="K72" s="21"/>
      <c r="L72" s="48">
        <v>38169</v>
      </c>
      <c r="M72" s="61">
        <v>1.31</v>
      </c>
      <c r="N72" s="24">
        <f t="shared" si="10"/>
        <v>1.0131000000000001</v>
      </c>
      <c r="O72" s="50">
        <f t="shared" si="14"/>
        <v>1.4919894159338294</v>
      </c>
      <c r="P72" s="26"/>
      <c r="Q72" s="26"/>
      <c r="R72" s="26"/>
      <c r="S72" s="26"/>
      <c r="T72" s="26"/>
      <c r="U72"/>
      <c r="V72"/>
    </row>
    <row r="73" spans="1:22" s="27" customFormat="1" ht="21.75" customHeight="1">
      <c r="A73" s="20"/>
      <c r="B73" s="46">
        <f t="shared" si="15"/>
        <v>9</v>
      </c>
      <c r="C73" s="52" t="s">
        <v>144</v>
      </c>
      <c r="D73" s="43">
        <v>38842</v>
      </c>
      <c r="E73" s="57">
        <v>1800000</v>
      </c>
      <c r="F73" s="41">
        <v>1.71</v>
      </c>
      <c r="G73" s="44">
        <f>E73*F73</f>
        <v>3078000</v>
      </c>
      <c r="H73" s="45">
        <f>O94</f>
        <v>1.3965134431635404</v>
      </c>
      <c r="I73" s="44">
        <f>H73*G73</f>
        <v>4298468.378057377</v>
      </c>
      <c r="J73" s="58" t="s">
        <v>195</v>
      </c>
      <c r="K73" s="21"/>
      <c r="L73" s="48">
        <v>38200</v>
      </c>
      <c r="M73" s="61">
        <v>1.22</v>
      </c>
      <c r="N73" s="24">
        <f t="shared" si="10"/>
        <v>1.0122</v>
      </c>
      <c r="O73" s="50">
        <f>O74*N73</f>
        <v>1.472697084131704</v>
      </c>
      <c r="P73" s="26"/>
      <c r="Q73" s="26"/>
      <c r="R73" s="26"/>
      <c r="S73" s="26"/>
      <c r="T73" s="26"/>
      <c r="U73"/>
      <c r="V73"/>
    </row>
    <row r="74" spans="1:22" s="27" customFormat="1" ht="21.75" customHeight="1">
      <c r="A74" s="20"/>
      <c r="B74" s="46">
        <f t="shared" si="15"/>
        <v>10</v>
      </c>
      <c r="C74" s="52" t="s">
        <v>145</v>
      </c>
      <c r="D74" s="43">
        <v>38853</v>
      </c>
      <c r="E74" s="44"/>
      <c r="F74" s="47"/>
      <c r="G74" s="44">
        <v>2568852.25</v>
      </c>
      <c r="H74" s="45">
        <f>O94</f>
        <v>1.3965134431635404</v>
      </c>
      <c r="I74" s="44">
        <f>H74*G74</f>
        <v>3587436.700625908</v>
      </c>
      <c r="J74" s="58" t="s">
        <v>195</v>
      </c>
      <c r="K74" s="21"/>
      <c r="L74" s="48">
        <v>38231</v>
      </c>
      <c r="M74" s="61">
        <v>0.69</v>
      </c>
      <c r="N74" s="24">
        <f t="shared" si="10"/>
        <v>1.0069</v>
      </c>
      <c r="O74" s="50">
        <f>O75*N74</f>
        <v>1.4549467339771824</v>
      </c>
      <c r="P74" s="26"/>
      <c r="Q74" s="26"/>
      <c r="R74" s="26"/>
      <c r="S74" s="26"/>
      <c r="T74" s="26"/>
      <c r="U74"/>
      <c r="V74"/>
    </row>
    <row r="75" spans="1:22" s="27" customFormat="1" ht="21.75" customHeight="1">
      <c r="A75" s="20"/>
      <c r="B75" s="46">
        <f t="shared" si="15"/>
        <v>11</v>
      </c>
      <c r="C75" s="52" t="s">
        <v>174</v>
      </c>
      <c r="D75" s="192">
        <v>38922</v>
      </c>
      <c r="E75" s="44"/>
      <c r="F75" s="47"/>
      <c r="G75" s="44" t="s">
        <v>104</v>
      </c>
      <c r="H75" s="45"/>
      <c r="I75" s="44"/>
      <c r="J75" s="58" t="s">
        <v>300</v>
      </c>
      <c r="K75" s="21"/>
      <c r="L75" s="48">
        <v>38261</v>
      </c>
      <c r="M75" s="61">
        <v>0.39</v>
      </c>
      <c r="N75" s="24">
        <f t="shared" si="10"/>
        <v>1.0039</v>
      </c>
      <c r="O75" s="50">
        <f t="shared" si="14"/>
        <v>1.4449763968389935</v>
      </c>
      <c r="P75" s="26"/>
      <c r="Q75" s="26"/>
      <c r="R75" s="26"/>
      <c r="S75" s="26"/>
      <c r="T75" s="26"/>
      <c r="U75"/>
      <c r="V75"/>
    </row>
    <row r="76" spans="1:22" s="27" customFormat="1" ht="21.75" customHeight="1">
      <c r="A76" s="20"/>
      <c r="B76" s="46">
        <f t="shared" si="15"/>
        <v>12</v>
      </c>
      <c r="C76" s="52" t="s">
        <v>9</v>
      </c>
      <c r="D76" s="192">
        <v>38929</v>
      </c>
      <c r="E76" s="44"/>
      <c r="F76" s="47"/>
      <c r="G76" s="44" t="s">
        <v>104</v>
      </c>
      <c r="H76" s="45"/>
      <c r="I76" s="44"/>
      <c r="J76" s="58" t="s">
        <v>195</v>
      </c>
      <c r="K76" s="21"/>
      <c r="L76" s="48">
        <v>38292</v>
      </c>
      <c r="M76" s="61">
        <v>0.82</v>
      </c>
      <c r="N76" s="24">
        <f t="shared" si="10"/>
        <v>1.0082</v>
      </c>
      <c r="O76" s="50">
        <f t="shared" si="14"/>
        <v>1.4393628816007504</v>
      </c>
      <c r="P76" s="26"/>
      <c r="Q76" s="26"/>
      <c r="R76" s="26"/>
      <c r="S76" s="26"/>
      <c r="T76" s="26"/>
      <c r="U76"/>
      <c r="V76"/>
    </row>
    <row r="77" spans="1:22" s="27" customFormat="1" ht="21.75" customHeight="1">
      <c r="A77" s="20"/>
      <c r="B77" s="46">
        <f t="shared" si="15"/>
        <v>13</v>
      </c>
      <c r="C77" s="52" t="s">
        <v>16</v>
      </c>
      <c r="D77" s="43">
        <v>38946</v>
      </c>
      <c r="E77" s="44"/>
      <c r="F77" s="47"/>
      <c r="G77" s="44">
        <v>1028036.48</v>
      </c>
      <c r="H77" s="45">
        <f>O97</f>
        <v>1.378389154008385</v>
      </c>
      <c r="I77" s="44">
        <f>H77*G77</f>
        <v>1417034.333956958</v>
      </c>
      <c r="J77" s="58" t="s">
        <v>195</v>
      </c>
      <c r="K77" s="21"/>
      <c r="L77" s="48">
        <v>38322</v>
      </c>
      <c r="M77" s="61">
        <v>0.74</v>
      </c>
      <c r="N77" s="24">
        <f t="shared" si="10"/>
        <v>1.0074</v>
      </c>
      <c r="O77" s="50">
        <f t="shared" si="14"/>
        <v>1.4276561015678937</v>
      </c>
      <c r="P77" s="26"/>
      <c r="Q77" s="26"/>
      <c r="R77" s="26"/>
      <c r="S77" s="26"/>
      <c r="T77" s="26"/>
      <c r="U77"/>
      <c r="V77"/>
    </row>
    <row r="78" spans="2:15" ht="21.75" customHeight="1">
      <c r="B78" s="46">
        <f t="shared" si="15"/>
        <v>14</v>
      </c>
      <c r="C78" s="52" t="s">
        <v>10</v>
      </c>
      <c r="D78" s="192">
        <v>38980</v>
      </c>
      <c r="E78" s="79"/>
      <c r="F78" s="74"/>
      <c r="G78" s="74" t="s">
        <v>104</v>
      </c>
      <c r="H78" s="87"/>
      <c r="I78" s="74"/>
      <c r="J78" s="58" t="s">
        <v>300</v>
      </c>
      <c r="L78" s="48">
        <v>38353</v>
      </c>
      <c r="M78" s="61">
        <v>0.39</v>
      </c>
      <c r="N78" s="24">
        <f t="shared" si="10"/>
        <v>1.0039</v>
      </c>
      <c r="O78" s="50">
        <f t="shared" si="14"/>
        <v>1.4171690505935017</v>
      </c>
    </row>
    <row r="79" spans="1:22" s="27" customFormat="1" ht="21.75" customHeight="1">
      <c r="A79" s="20"/>
      <c r="B79" s="46">
        <f t="shared" si="15"/>
        <v>15</v>
      </c>
      <c r="C79" s="52" t="s">
        <v>525</v>
      </c>
      <c r="D79" s="43">
        <v>38996</v>
      </c>
      <c r="E79" s="44"/>
      <c r="F79" s="47"/>
      <c r="G79" s="44">
        <v>880000</v>
      </c>
      <c r="H79" s="45">
        <f>O99</f>
        <v>1.3693368378940138</v>
      </c>
      <c r="I79" s="44">
        <f>H79*G79</f>
        <v>1205016.4173467322</v>
      </c>
      <c r="J79" s="58" t="s">
        <v>195</v>
      </c>
      <c r="K79" s="21"/>
      <c r="L79" s="48">
        <v>38384</v>
      </c>
      <c r="M79" s="61">
        <v>0.3</v>
      </c>
      <c r="N79" s="24">
        <f t="shared" si="10"/>
        <v>1.003</v>
      </c>
      <c r="O79" s="50">
        <f t="shared" si="14"/>
        <v>1.4116635626989757</v>
      </c>
      <c r="P79" s="26"/>
      <c r="Q79" s="26"/>
      <c r="R79" s="26"/>
      <c r="S79" s="26"/>
      <c r="T79" s="26"/>
      <c r="U79"/>
      <c r="V79"/>
    </row>
    <row r="80" spans="1:22" s="27" customFormat="1" ht="21.75" customHeight="1">
      <c r="A80" s="20"/>
      <c r="B80" s="46">
        <f t="shared" si="15"/>
        <v>16</v>
      </c>
      <c r="C80" s="52" t="s">
        <v>14</v>
      </c>
      <c r="D80" s="43">
        <v>39029</v>
      </c>
      <c r="E80" s="44"/>
      <c r="F80" s="47"/>
      <c r="G80" s="44">
        <v>120057359.99</v>
      </c>
      <c r="H80" s="45">
        <f>O100</f>
        <v>1.3629310619030695</v>
      </c>
      <c r="I80" s="44">
        <f>H80*G80</f>
        <v>163629905.14044976</v>
      </c>
      <c r="J80" s="58" t="s">
        <v>195</v>
      </c>
      <c r="K80" s="21"/>
      <c r="L80" s="48">
        <v>38412</v>
      </c>
      <c r="M80" s="61">
        <v>0.85</v>
      </c>
      <c r="N80" s="24">
        <f t="shared" si="10"/>
        <v>1.0085</v>
      </c>
      <c r="O80" s="50">
        <f t="shared" si="14"/>
        <v>1.4074412389820299</v>
      </c>
      <c r="P80" s="26"/>
      <c r="Q80" s="26"/>
      <c r="R80" s="26"/>
      <c r="S80" s="26"/>
      <c r="T80" s="26"/>
      <c r="U80"/>
      <c r="V80"/>
    </row>
    <row r="81" spans="1:22" s="27" customFormat="1" ht="21.75" customHeight="1">
      <c r="A81" s="20"/>
      <c r="B81" s="46">
        <f t="shared" si="15"/>
        <v>17</v>
      </c>
      <c r="C81" s="52" t="s">
        <v>15</v>
      </c>
      <c r="D81" s="43">
        <v>39031</v>
      </c>
      <c r="E81" s="44"/>
      <c r="F81" s="47"/>
      <c r="G81" s="44">
        <v>5000000</v>
      </c>
      <c r="H81" s="45">
        <f>O100</f>
        <v>1.3629310619030695</v>
      </c>
      <c r="I81" s="44">
        <f>H81*G81</f>
        <v>6814655.309515348</v>
      </c>
      <c r="J81" s="58" t="s">
        <v>183</v>
      </c>
      <c r="K81" s="21"/>
      <c r="L81" s="48">
        <v>38443</v>
      </c>
      <c r="M81" s="61">
        <v>0.86</v>
      </c>
      <c r="N81" s="24">
        <f t="shared" si="10"/>
        <v>1.0086</v>
      </c>
      <c r="O81" s="50">
        <f t="shared" si="14"/>
        <v>1.3955788190203569</v>
      </c>
      <c r="P81" s="26"/>
      <c r="Q81" s="26"/>
      <c r="R81" s="26"/>
      <c r="S81" s="26"/>
      <c r="T81" s="26"/>
      <c r="U81"/>
      <c r="V81"/>
    </row>
    <row r="82" spans="2:15" ht="21.75" customHeight="1">
      <c r="B82" s="46">
        <f t="shared" si="15"/>
        <v>18</v>
      </c>
      <c r="C82" s="52" t="s">
        <v>11</v>
      </c>
      <c r="D82" s="193">
        <v>39069</v>
      </c>
      <c r="E82" s="79"/>
      <c r="F82" s="74"/>
      <c r="G82" s="74" t="s">
        <v>104</v>
      </c>
      <c r="H82" s="87"/>
      <c r="I82" s="74"/>
      <c r="J82" s="58" t="s">
        <v>195</v>
      </c>
      <c r="L82" s="48">
        <v>38473</v>
      </c>
      <c r="M82" s="61">
        <v>-0.22</v>
      </c>
      <c r="N82" s="24">
        <f t="shared" si="10"/>
        <v>0.9978</v>
      </c>
      <c r="O82" s="50">
        <f t="shared" si="14"/>
        <v>1.3836791780887934</v>
      </c>
    </row>
    <row r="83" spans="1:22" s="27" customFormat="1" ht="21.75" customHeight="1">
      <c r="A83" s="20"/>
      <c r="B83" s="46">
        <f t="shared" si="15"/>
        <v>19</v>
      </c>
      <c r="C83" s="52" t="s">
        <v>17</v>
      </c>
      <c r="D83" s="43">
        <v>39044</v>
      </c>
      <c r="E83" s="44"/>
      <c r="F83" s="47"/>
      <c r="G83" s="44">
        <v>2000000</v>
      </c>
      <c r="H83" s="45">
        <f>O100</f>
        <v>1.3629310619030695</v>
      </c>
      <c r="I83" s="44">
        <f>H83*G83</f>
        <v>2725862.123806139</v>
      </c>
      <c r="J83" s="58" t="s">
        <v>195</v>
      </c>
      <c r="K83" s="21"/>
      <c r="L83" s="48">
        <v>38504</v>
      </c>
      <c r="M83" s="61">
        <v>-0.44</v>
      </c>
      <c r="N83" s="24">
        <f t="shared" si="10"/>
        <v>0.9956</v>
      </c>
      <c r="O83" s="50">
        <f t="shared" si="14"/>
        <v>1.3867299840537115</v>
      </c>
      <c r="P83" s="26"/>
      <c r="Q83" s="26"/>
      <c r="R83" s="26"/>
      <c r="S83" s="26"/>
      <c r="T83" s="26"/>
      <c r="U83"/>
      <c r="V83"/>
    </row>
    <row r="84" spans="2:15" ht="21.75" customHeight="1">
      <c r="B84" s="46">
        <f t="shared" si="15"/>
        <v>20</v>
      </c>
      <c r="C84" s="52" t="s">
        <v>12</v>
      </c>
      <c r="D84" s="193">
        <v>39128</v>
      </c>
      <c r="E84" s="79"/>
      <c r="F84" s="74"/>
      <c r="G84" s="74" t="s">
        <v>104</v>
      </c>
      <c r="H84" s="87"/>
      <c r="I84" s="74"/>
      <c r="J84" s="58" t="s">
        <v>195</v>
      </c>
      <c r="L84" s="48">
        <v>38534</v>
      </c>
      <c r="M84" s="61">
        <v>-0.34</v>
      </c>
      <c r="N84" s="24">
        <f t="shared" si="10"/>
        <v>0.9966</v>
      </c>
      <c r="O84" s="50">
        <f t="shared" si="14"/>
        <v>1.3928585617253029</v>
      </c>
    </row>
    <row r="85" spans="2:15" ht="21.75" customHeight="1">
      <c r="B85" s="46">
        <f t="shared" si="15"/>
        <v>21</v>
      </c>
      <c r="C85" s="52" t="s">
        <v>13</v>
      </c>
      <c r="D85" s="193">
        <v>39140</v>
      </c>
      <c r="E85" s="79"/>
      <c r="F85" s="74"/>
      <c r="G85" s="74" t="s">
        <v>104</v>
      </c>
      <c r="H85" s="87"/>
      <c r="I85" s="74"/>
      <c r="J85" s="58" t="s">
        <v>195</v>
      </c>
      <c r="L85" s="48">
        <v>38565</v>
      </c>
      <c r="M85" s="61">
        <v>-0.65</v>
      </c>
      <c r="N85" s="24">
        <f t="shared" si="10"/>
        <v>0.9935</v>
      </c>
      <c r="O85" s="50">
        <f t="shared" si="14"/>
        <v>1.397610437211823</v>
      </c>
    </row>
    <row r="86" spans="1:22" s="27" customFormat="1" ht="27" customHeight="1">
      <c r="A86" s="20"/>
      <c r="B86" s="46"/>
      <c r="C86" s="53"/>
      <c r="D86" s="680" t="s">
        <v>203</v>
      </c>
      <c r="E86" s="680"/>
      <c r="F86" s="680"/>
      <c r="G86" s="680"/>
      <c r="H86" s="686"/>
      <c r="I86" s="54">
        <f>SUM(I70:I84)</f>
        <v>205009284.310989</v>
      </c>
      <c r="J86" s="55"/>
      <c r="K86" s="21"/>
      <c r="L86" s="48">
        <v>38596</v>
      </c>
      <c r="M86" s="61">
        <v>-0.53</v>
      </c>
      <c r="N86" s="24">
        <f t="shared" si="10"/>
        <v>0.9947</v>
      </c>
      <c r="O86" s="50">
        <f t="shared" si="14"/>
        <v>1.4067543404245828</v>
      </c>
      <c r="P86" s="26"/>
      <c r="Q86" s="26"/>
      <c r="R86" s="26"/>
      <c r="S86" s="26"/>
      <c r="T86" s="26"/>
      <c r="U86"/>
      <c r="V86"/>
    </row>
    <row r="87" spans="1:22" s="27" customFormat="1" ht="21.75" customHeight="1">
      <c r="A87" s="20"/>
      <c r="B87" s="46">
        <v>1</v>
      </c>
      <c r="C87" s="52" t="s">
        <v>146</v>
      </c>
      <c r="D87" s="43">
        <v>39175</v>
      </c>
      <c r="E87" s="44"/>
      <c r="F87" s="47"/>
      <c r="G87" s="44">
        <v>5384731.94</v>
      </c>
      <c r="H87" s="45">
        <f>O105</f>
        <v>1.3336139747492377</v>
      </c>
      <c r="I87" s="44">
        <f>H87*G87</f>
        <v>7181153.765462575</v>
      </c>
      <c r="J87" s="58" t="s">
        <v>300</v>
      </c>
      <c r="K87" s="21"/>
      <c r="L87" s="48">
        <v>38626</v>
      </c>
      <c r="M87" s="61">
        <v>0.6</v>
      </c>
      <c r="N87" s="24">
        <f t="shared" si="10"/>
        <v>1.006</v>
      </c>
      <c r="O87" s="50">
        <f t="shared" si="14"/>
        <v>1.4142498647075328</v>
      </c>
      <c r="P87" s="26"/>
      <c r="Q87" s="26"/>
      <c r="R87" s="26"/>
      <c r="S87" s="26"/>
      <c r="T87" s="26"/>
      <c r="U87"/>
      <c r="V87"/>
    </row>
    <row r="88" spans="1:22" s="27" customFormat="1" ht="21.75" customHeight="1">
      <c r="A88" s="20"/>
      <c r="B88" s="46">
        <f aca="true" t="shared" si="16" ref="B88:B104">B87+1</f>
        <v>2</v>
      </c>
      <c r="C88" s="52" t="s">
        <v>147</v>
      </c>
      <c r="D88" s="43">
        <v>39141</v>
      </c>
      <c r="E88" s="44"/>
      <c r="F88" s="47"/>
      <c r="G88" s="44"/>
      <c r="H88" s="45"/>
      <c r="I88" s="44"/>
      <c r="J88" s="58" t="s">
        <v>195</v>
      </c>
      <c r="K88" s="21"/>
      <c r="L88" s="48">
        <v>38657</v>
      </c>
      <c r="M88" s="61">
        <v>0.4</v>
      </c>
      <c r="N88" s="24">
        <f t="shared" si="10"/>
        <v>1.004</v>
      </c>
      <c r="O88" s="50">
        <f t="shared" si="14"/>
        <v>1.4058149748583826</v>
      </c>
      <c r="P88" s="26"/>
      <c r="Q88" s="26"/>
      <c r="R88" s="26"/>
      <c r="S88" s="26"/>
      <c r="T88" s="26"/>
      <c r="U88"/>
      <c r="V88"/>
    </row>
    <row r="89" spans="1:22" s="27" customFormat="1" ht="21.75" customHeight="1">
      <c r="A89" s="62"/>
      <c r="B89" s="46">
        <f t="shared" si="16"/>
        <v>3</v>
      </c>
      <c r="C89" s="52" t="s">
        <v>148</v>
      </c>
      <c r="D89" s="43">
        <v>39175</v>
      </c>
      <c r="E89" s="44"/>
      <c r="F89" s="47"/>
      <c r="G89" s="44">
        <v>2424515.9</v>
      </c>
      <c r="H89" s="45">
        <f>O105</f>
        <v>1.3336139747492377</v>
      </c>
      <c r="I89" s="44">
        <f aca="true" t="shared" si="17" ref="I89:I157">H89*G89</f>
        <v>3233368.286241725</v>
      </c>
      <c r="J89" s="58" t="s">
        <v>195</v>
      </c>
      <c r="K89" s="21"/>
      <c r="L89" s="48">
        <v>38687</v>
      </c>
      <c r="M89" s="61">
        <v>-0.01</v>
      </c>
      <c r="N89" s="24">
        <f t="shared" si="10"/>
        <v>0.9999</v>
      </c>
      <c r="O89" s="50">
        <f t="shared" si="14"/>
        <v>1.400214118384843</v>
      </c>
      <c r="P89" s="26"/>
      <c r="Q89" s="26"/>
      <c r="R89" s="26"/>
      <c r="S89" s="26"/>
      <c r="T89" s="26"/>
      <c r="U89"/>
      <c r="V89"/>
    </row>
    <row r="90" spans="1:22" s="27" customFormat="1" ht="21.75" customHeight="1">
      <c r="A90" s="62"/>
      <c r="B90" s="46">
        <f t="shared" si="16"/>
        <v>4</v>
      </c>
      <c r="C90" s="52" t="s">
        <v>149</v>
      </c>
      <c r="D90" s="43">
        <v>39190</v>
      </c>
      <c r="E90" s="44"/>
      <c r="F90" s="47"/>
      <c r="G90" s="44">
        <v>963894.15</v>
      </c>
      <c r="H90" s="45">
        <f>O105</f>
        <v>1.3336139747492377</v>
      </c>
      <c r="I90" s="44">
        <f t="shared" si="17"/>
        <v>1285462.7086190379</v>
      </c>
      <c r="J90" s="58" t="s">
        <v>532</v>
      </c>
      <c r="K90" s="21"/>
      <c r="L90" s="48">
        <v>38718</v>
      </c>
      <c r="M90" s="61">
        <v>0.92</v>
      </c>
      <c r="N90" s="24">
        <f t="shared" si="10"/>
        <v>1.0092</v>
      </c>
      <c r="O90" s="50">
        <f t="shared" si="14"/>
        <v>1.400354153800223</v>
      </c>
      <c r="P90" s="26"/>
      <c r="Q90" s="26"/>
      <c r="R90" s="26"/>
      <c r="S90" s="26"/>
      <c r="T90" s="26"/>
      <c r="U90"/>
      <c r="V90"/>
    </row>
    <row r="91" spans="1:22" s="27" customFormat="1" ht="21.75" customHeight="1">
      <c r="A91" s="62"/>
      <c r="B91" s="46">
        <f t="shared" si="16"/>
        <v>5</v>
      </c>
      <c r="C91" s="52" t="s">
        <v>150</v>
      </c>
      <c r="D91" s="43">
        <v>39196</v>
      </c>
      <c r="E91" s="57">
        <v>25000000</v>
      </c>
      <c r="F91" s="41">
        <v>1.71</v>
      </c>
      <c r="G91" s="44">
        <f>E91*F91</f>
        <v>42750000</v>
      </c>
      <c r="H91" s="45">
        <f>O105</f>
        <v>1.3336139747492377</v>
      </c>
      <c r="I91" s="44">
        <f t="shared" si="17"/>
        <v>57011997.42052991</v>
      </c>
      <c r="J91" s="58" t="s">
        <v>195</v>
      </c>
      <c r="K91" s="21"/>
      <c r="L91" s="48">
        <v>38749</v>
      </c>
      <c r="M91" s="61">
        <v>0.01</v>
      </c>
      <c r="N91" s="24">
        <f t="shared" si="10"/>
        <v>1.0001</v>
      </c>
      <c r="O91" s="50">
        <f t="shared" si="14"/>
        <v>1.3875883410624485</v>
      </c>
      <c r="P91" s="26"/>
      <c r="Q91" s="26"/>
      <c r="R91" s="26"/>
      <c r="S91" s="26"/>
      <c r="T91" s="26"/>
      <c r="U91"/>
      <c r="V91"/>
    </row>
    <row r="92" spans="1:22" s="27" customFormat="1" ht="21.75" customHeight="1">
      <c r="A92" s="62"/>
      <c r="B92" s="46">
        <f t="shared" si="16"/>
        <v>6</v>
      </c>
      <c r="C92" s="52" t="s">
        <v>151</v>
      </c>
      <c r="D92" s="43">
        <v>39212</v>
      </c>
      <c r="E92" s="44"/>
      <c r="F92" s="47"/>
      <c r="G92" s="44">
        <v>2490000</v>
      </c>
      <c r="H92" s="45">
        <f>O106</f>
        <v>1.3330807424522568</v>
      </c>
      <c r="I92" s="44">
        <f t="shared" si="17"/>
        <v>3319371.0487061194</v>
      </c>
      <c r="J92" s="58" t="s">
        <v>101</v>
      </c>
      <c r="K92" s="21"/>
      <c r="L92" s="48">
        <v>38777</v>
      </c>
      <c r="M92" s="61">
        <v>-0.23</v>
      </c>
      <c r="N92" s="24">
        <f t="shared" si="10"/>
        <v>0.9977</v>
      </c>
      <c r="O92" s="50">
        <f t="shared" si="14"/>
        <v>1.3874495961028384</v>
      </c>
      <c r="P92" s="26"/>
      <c r="Q92" s="26"/>
      <c r="R92" s="26"/>
      <c r="S92" s="26"/>
      <c r="T92" s="26"/>
      <c r="U92"/>
      <c r="V92"/>
    </row>
    <row r="93" spans="1:22" s="27" customFormat="1" ht="21.75" customHeight="1">
      <c r="A93" s="62"/>
      <c r="B93" s="46">
        <f t="shared" si="16"/>
        <v>7</v>
      </c>
      <c r="C93" s="52" t="s">
        <v>152</v>
      </c>
      <c r="D93" s="43">
        <v>39290</v>
      </c>
      <c r="E93" s="44"/>
      <c r="F93" s="47"/>
      <c r="G93" s="44"/>
      <c r="H93" s="45"/>
      <c r="I93" s="44"/>
      <c r="J93" s="58" t="s">
        <v>195</v>
      </c>
      <c r="K93" s="21"/>
      <c r="L93" s="48">
        <v>38808</v>
      </c>
      <c r="M93" s="61">
        <v>-0.42</v>
      </c>
      <c r="N93" s="24">
        <f t="shared" si="10"/>
        <v>0.9958</v>
      </c>
      <c r="O93" s="50">
        <f t="shared" si="14"/>
        <v>1.3906480867022535</v>
      </c>
      <c r="P93" s="26"/>
      <c r="Q93" s="26"/>
      <c r="R93" s="26"/>
      <c r="S93" s="26"/>
      <c r="T93" s="26"/>
      <c r="U93"/>
      <c r="V93"/>
    </row>
    <row r="94" spans="1:22" s="27" customFormat="1" ht="21.75" customHeight="1">
      <c r="A94" s="62"/>
      <c r="B94" s="46">
        <f t="shared" si="16"/>
        <v>8</v>
      </c>
      <c r="C94" s="52" t="s">
        <v>153</v>
      </c>
      <c r="D94" s="43">
        <v>39296</v>
      </c>
      <c r="E94" s="57">
        <v>418338</v>
      </c>
      <c r="F94" s="41">
        <v>1.71</v>
      </c>
      <c r="G94" s="44">
        <f>E94*F94</f>
        <v>715357.98</v>
      </c>
      <c r="H94" s="45">
        <f>O109</f>
        <v>1.3159308850675742</v>
      </c>
      <c r="I94" s="44">
        <f t="shared" si="17"/>
        <v>941361.659761552</v>
      </c>
      <c r="J94" s="58" t="s">
        <v>195</v>
      </c>
      <c r="K94" s="21"/>
      <c r="L94" s="48">
        <v>38838</v>
      </c>
      <c r="M94" s="61">
        <v>0.38</v>
      </c>
      <c r="N94" s="24">
        <f t="shared" si="10"/>
        <v>1.0038</v>
      </c>
      <c r="O94" s="50">
        <f t="shared" si="14"/>
        <v>1.3965134431635404</v>
      </c>
      <c r="P94" s="26"/>
      <c r="Q94" s="26"/>
      <c r="R94" s="26"/>
      <c r="S94" s="26"/>
      <c r="T94" s="26"/>
      <c r="U94"/>
      <c r="V94"/>
    </row>
    <row r="95" spans="1:22" s="27" customFormat="1" ht="21.75" customHeight="1">
      <c r="A95" s="62"/>
      <c r="B95" s="46">
        <f t="shared" si="16"/>
        <v>9</v>
      </c>
      <c r="C95" s="52" t="s">
        <v>154</v>
      </c>
      <c r="D95" s="43">
        <v>39300</v>
      </c>
      <c r="E95" s="44"/>
      <c r="F95" s="47"/>
      <c r="G95" s="44">
        <v>16500000</v>
      </c>
      <c r="H95" s="45">
        <f>O109</f>
        <v>1.3159308850675742</v>
      </c>
      <c r="I95" s="44">
        <f t="shared" si="17"/>
        <v>21712859.603614975</v>
      </c>
      <c r="J95" s="58" t="s">
        <v>195</v>
      </c>
      <c r="K95" s="21"/>
      <c r="L95" s="48">
        <v>38869</v>
      </c>
      <c r="M95" s="61">
        <v>0.75</v>
      </c>
      <c r="N95" s="24">
        <f t="shared" si="10"/>
        <v>1.0075</v>
      </c>
      <c r="O95" s="50">
        <f t="shared" si="14"/>
        <v>1.3912267813942423</v>
      </c>
      <c r="P95" s="26"/>
      <c r="Q95" s="26"/>
      <c r="R95" s="26"/>
      <c r="S95" s="26"/>
      <c r="T95" s="26"/>
      <c r="U95"/>
      <c r="V95"/>
    </row>
    <row r="96" spans="1:22" s="27" customFormat="1" ht="21.75" customHeight="1">
      <c r="A96" s="62"/>
      <c r="B96" s="46">
        <f t="shared" si="16"/>
        <v>10</v>
      </c>
      <c r="C96" s="52" t="s">
        <v>155</v>
      </c>
      <c r="D96" s="43">
        <v>39351</v>
      </c>
      <c r="E96" s="44"/>
      <c r="F96" s="47"/>
      <c r="G96" s="44">
        <v>5000000</v>
      </c>
      <c r="H96" s="45">
        <f>O110</f>
        <v>1.3031599178724245</v>
      </c>
      <c r="I96" s="44">
        <f t="shared" si="17"/>
        <v>6515799.589362122</v>
      </c>
      <c r="J96" s="58" t="s">
        <v>195</v>
      </c>
      <c r="K96" s="21"/>
      <c r="L96" s="48">
        <v>38899</v>
      </c>
      <c r="M96" s="61">
        <v>0.18</v>
      </c>
      <c r="N96" s="24">
        <f t="shared" si="10"/>
        <v>1.0018</v>
      </c>
      <c r="O96" s="50">
        <f t="shared" si="14"/>
        <v>1.3808702544856002</v>
      </c>
      <c r="P96" s="26"/>
      <c r="Q96" s="26"/>
      <c r="R96" s="26"/>
      <c r="S96" s="26"/>
      <c r="T96" s="26"/>
      <c r="U96"/>
      <c r="V96"/>
    </row>
    <row r="97" spans="1:22" s="27" customFormat="1" ht="21.75" customHeight="1">
      <c r="A97" s="62"/>
      <c r="B97" s="46">
        <f t="shared" si="16"/>
        <v>11</v>
      </c>
      <c r="C97" s="52" t="s">
        <v>177</v>
      </c>
      <c r="D97" s="43">
        <v>39292</v>
      </c>
      <c r="E97" s="44"/>
      <c r="F97" s="47"/>
      <c r="G97" s="44"/>
      <c r="H97" s="45"/>
      <c r="I97" s="44"/>
      <c r="J97" s="58" t="s">
        <v>195</v>
      </c>
      <c r="K97" s="21"/>
      <c r="L97" s="48">
        <v>38930</v>
      </c>
      <c r="M97" s="61">
        <v>0.37</v>
      </c>
      <c r="N97" s="24">
        <f t="shared" si="10"/>
        <v>1.0037</v>
      </c>
      <c r="O97" s="50">
        <f t="shared" si="14"/>
        <v>1.378389154008385</v>
      </c>
      <c r="P97" s="26"/>
      <c r="Q97" s="26"/>
      <c r="R97" s="26"/>
      <c r="S97" s="26"/>
      <c r="T97" s="26"/>
      <c r="U97"/>
      <c r="V97"/>
    </row>
    <row r="98" spans="1:22" s="27" customFormat="1" ht="21.75" customHeight="1">
      <c r="A98" s="62"/>
      <c r="B98" s="46">
        <f t="shared" si="16"/>
        <v>12</v>
      </c>
      <c r="C98" s="52" t="s">
        <v>18</v>
      </c>
      <c r="D98" s="43">
        <v>39351</v>
      </c>
      <c r="E98" s="44"/>
      <c r="F98" s="47"/>
      <c r="G98" s="44">
        <v>80000000</v>
      </c>
      <c r="H98" s="45">
        <f>O110</f>
        <v>1.3031599178724245</v>
      </c>
      <c r="I98" s="44">
        <f t="shared" si="17"/>
        <v>104252793.42979395</v>
      </c>
      <c r="J98" s="58" t="s">
        <v>195</v>
      </c>
      <c r="K98" s="21"/>
      <c r="L98" s="48">
        <v>38961</v>
      </c>
      <c r="M98" s="61">
        <v>0.29</v>
      </c>
      <c r="N98" s="24">
        <f t="shared" si="10"/>
        <v>1.0029</v>
      </c>
      <c r="O98" s="50">
        <f t="shared" si="14"/>
        <v>1.3733079147239065</v>
      </c>
      <c r="P98" s="26"/>
      <c r="Q98" s="26"/>
      <c r="R98" s="26"/>
      <c r="S98" s="26"/>
      <c r="T98" s="26"/>
      <c r="U98"/>
      <c r="V98"/>
    </row>
    <row r="99" spans="1:22" s="27" customFormat="1" ht="21.75" customHeight="1">
      <c r="A99" s="62"/>
      <c r="B99" s="46">
        <f t="shared" si="16"/>
        <v>13</v>
      </c>
      <c r="C99" s="52" t="s">
        <v>0</v>
      </c>
      <c r="D99" s="43">
        <v>39176</v>
      </c>
      <c r="E99" s="44"/>
      <c r="F99" s="47"/>
      <c r="G99" s="44"/>
      <c r="H99" s="45"/>
      <c r="I99" s="44"/>
      <c r="J99" s="58" t="s">
        <v>195</v>
      </c>
      <c r="K99" s="21"/>
      <c r="L99" s="48">
        <v>38991</v>
      </c>
      <c r="M99" s="61">
        <v>0.47</v>
      </c>
      <c r="N99" s="24">
        <f t="shared" si="10"/>
        <v>1.0047</v>
      </c>
      <c r="O99" s="50">
        <f t="shared" si="14"/>
        <v>1.3693368378940138</v>
      </c>
      <c r="P99" s="26"/>
      <c r="Q99" s="26"/>
      <c r="R99" s="26"/>
      <c r="S99" s="26"/>
      <c r="T99" s="26"/>
      <c r="U99"/>
      <c r="V99"/>
    </row>
    <row r="100" spans="1:22" s="27" customFormat="1" ht="21.75" customHeight="1">
      <c r="A100" s="62"/>
      <c r="B100" s="46">
        <f t="shared" si="16"/>
        <v>14</v>
      </c>
      <c r="C100" s="52" t="s">
        <v>1</v>
      </c>
      <c r="D100" s="43">
        <v>39176</v>
      </c>
      <c r="E100" s="44"/>
      <c r="F100" s="47"/>
      <c r="G100" s="44"/>
      <c r="H100" s="45"/>
      <c r="I100" s="44"/>
      <c r="J100" s="58" t="s">
        <v>195</v>
      </c>
      <c r="K100" s="21"/>
      <c r="L100" s="48">
        <v>39022</v>
      </c>
      <c r="M100" s="61">
        <v>0.75</v>
      </c>
      <c r="N100" s="24">
        <f t="shared" si="10"/>
        <v>1.0075</v>
      </c>
      <c r="O100" s="50">
        <f t="shared" si="14"/>
        <v>1.3629310619030695</v>
      </c>
      <c r="P100" s="26"/>
      <c r="Q100" s="26"/>
      <c r="R100" s="26"/>
      <c r="S100" s="26"/>
      <c r="T100" s="26"/>
      <c r="U100"/>
      <c r="V100"/>
    </row>
    <row r="101" spans="1:22" s="27" customFormat="1" ht="21.75" customHeight="1">
      <c r="A101" s="62"/>
      <c r="B101" s="46">
        <f t="shared" si="16"/>
        <v>15</v>
      </c>
      <c r="C101" s="52" t="s">
        <v>19</v>
      </c>
      <c r="D101" s="43">
        <v>39400</v>
      </c>
      <c r="E101" s="44"/>
      <c r="F101" s="47"/>
      <c r="G101" s="44">
        <v>2000000</v>
      </c>
      <c r="H101" s="45">
        <f>O112</f>
        <v>1.2731947074939365</v>
      </c>
      <c r="I101" s="44">
        <f t="shared" si="17"/>
        <v>2546389.414987873</v>
      </c>
      <c r="J101" s="58" t="s">
        <v>183</v>
      </c>
      <c r="K101" s="21"/>
      <c r="L101" s="48">
        <v>39052</v>
      </c>
      <c r="M101" s="61">
        <v>0.32</v>
      </c>
      <c r="N101" s="24">
        <f t="shared" si="10"/>
        <v>1.0032</v>
      </c>
      <c r="O101" s="50">
        <f t="shared" si="14"/>
        <v>1.3527851731047835</v>
      </c>
      <c r="P101" s="26"/>
      <c r="Q101" s="26"/>
      <c r="R101" s="26"/>
      <c r="S101" s="26"/>
      <c r="T101" s="26"/>
      <c r="U101"/>
      <c r="V101"/>
    </row>
    <row r="102" spans="1:22" s="27" customFormat="1" ht="21.75" customHeight="1">
      <c r="A102" s="62"/>
      <c r="B102" s="46">
        <f t="shared" si="16"/>
        <v>16</v>
      </c>
      <c r="C102" s="52" t="s">
        <v>2</v>
      </c>
      <c r="D102" s="43">
        <v>39413</v>
      </c>
      <c r="E102" s="44"/>
      <c r="F102" s="47"/>
      <c r="G102" s="44">
        <v>30000000</v>
      </c>
      <c r="H102" s="45">
        <f>O112</f>
        <v>1.2731947074939365</v>
      </c>
      <c r="I102" s="44">
        <f t="shared" si="17"/>
        <v>38195841.224818096</v>
      </c>
      <c r="J102" s="58" t="s">
        <v>195</v>
      </c>
      <c r="K102" s="21"/>
      <c r="L102" s="48">
        <v>39083</v>
      </c>
      <c r="M102" s="61">
        <v>0.5</v>
      </c>
      <c r="N102" s="24">
        <f t="shared" si="10"/>
        <v>1.005</v>
      </c>
      <c r="O102" s="50">
        <f t="shared" si="14"/>
        <v>1.3484700688843534</v>
      </c>
      <c r="P102" s="26"/>
      <c r="Q102" s="26"/>
      <c r="R102" s="26"/>
      <c r="S102" s="26"/>
      <c r="T102" s="26"/>
      <c r="U102"/>
      <c r="V102"/>
    </row>
    <row r="103" spans="1:22" s="27" customFormat="1" ht="21.75" customHeight="1">
      <c r="A103" s="62"/>
      <c r="B103" s="46">
        <f t="shared" si="16"/>
        <v>17</v>
      </c>
      <c r="C103" s="52" t="s">
        <v>3</v>
      </c>
      <c r="D103" s="43">
        <v>39413</v>
      </c>
      <c r="E103" s="44"/>
      <c r="F103" s="47"/>
      <c r="G103" s="44">
        <v>3500000</v>
      </c>
      <c r="H103" s="45">
        <f>O112</f>
        <v>1.2731947074939365</v>
      </c>
      <c r="I103" s="44">
        <f t="shared" si="17"/>
        <v>4456181.476228777</v>
      </c>
      <c r="J103" s="58" t="s">
        <v>101</v>
      </c>
      <c r="K103" s="21"/>
      <c r="L103" s="48">
        <v>39114</v>
      </c>
      <c r="M103" s="61">
        <v>0.27</v>
      </c>
      <c r="N103" s="24">
        <f t="shared" si="10"/>
        <v>1.0027</v>
      </c>
      <c r="O103" s="50">
        <f t="shared" si="14"/>
        <v>1.341761262571496</v>
      </c>
      <c r="P103" s="26"/>
      <c r="Q103" s="26"/>
      <c r="R103" s="26"/>
      <c r="S103" s="26"/>
      <c r="T103" s="26"/>
      <c r="U103"/>
      <c r="V103"/>
    </row>
    <row r="104" spans="1:22" s="27" customFormat="1" ht="21.75" customHeight="1">
      <c r="A104" s="62"/>
      <c r="B104" s="46">
        <f t="shared" si="16"/>
        <v>18</v>
      </c>
      <c r="C104" s="52" t="s">
        <v>20</v>
      </c>
      <c r="D104" s="98">
        <v>39426</v>
      </c>
      <c r="E104" s="99"/>
      <c r="F104" s="100"/>
      <c r="G104" s="99"/>
      <c r="H104" s="101"/>
      <c r="I104" s="44"/>
      <c r="J104" s="58" t="s">
        <v>532</v>
      </c>
      <c r="K104" s="21"/>
      <c r="L104" s="48">
        <v>39142</v>
      </c>
      <c r="M104" s="61">
        <v>0.34</v>
      </c>
      <c r="N104" s="24">
        <f t="shared" si="10"/>
        <v>1.0034</v>
      </c>
      <c r="O104" s="50">
        <f t="shared" si="14"/>
        <v>1.3381482622633851</v>
      </c>
      <c r="P104" s="26"/>
      <c r="Q104" s="26"/>
      <c r="R104" s="26"/>
      <c r="S104" s="26"/>
      <c r="T104" s="26"/>
      <c r="U104"/>
      <c r="V104"/>
    </row>
    <row r="105" spans="1:22" s="27" customFormat="1" ht="27" customHeight="1">
      <c r="A105" s="62"/>
      <c r="B105" s="46"/>
      <c r="C105" s="53"/>
      <c r="D105" s="680" t="s">
        <v>205</v>
      </c>
      <c r="E105" s="680"/>
      <c r="F105" s="680"/>
      <c r="G105" s="680"/>
      <c r="H105" s="686"/>
      <c r="I105" s="54">
        <f>SUM(I87:I103)</f>
        <v>250652579.62812668</v>
      </c>
      <c r="J105" s="55"/>
      <c r="K105" s="21"/>
      <c r="L105" s="48">
        <v>39173</v>
      </c>
      <c r="M105" s="61">
        <v>0.04</v>
      </c>
      <c r="N105" s="24">
        <f t="shared" si="10"/>
        <v>1.0004</v>
      </c>
      <c r="O105" s="50">
        <f t="shared" si="14"/>
        <v>1.3336139747492377</v>
      </c>
      <c r="P105" s="26"/>
      <c r="Q105" s="26"/>
      <c r="R105" s="26"/>
      <c r="S105" s="26"/>
      <c r="T105" s="26"/>
      <c r="U105"/>
      <c r="V105"/>
    </row>
    <row r="106" spans="1:22" s="27" customFormat="1" ht="21.75" customHeight="1">
      <c r="A106" s="62"/>
      <c r="B106" s="46">
        <v>1</v>
      </c>
      <c r="C106" s="42" t="s">
        <v>34</v>
      </c>
      <c r="D106" s="43">
        <v>39468</v>
      </c>
      <c r="E106" s="63"/>
      <c r="F106" s="47"/>
      <c r="G106" s="44" t="s">
        <v>104</v>
      </c>
      <c r="H106" s="45"/>
      <c r="I106" s="44">
        <v>0</v>
      </c>
      <c r="J106" s="58" t="s">
        <v>195</v>
      </c>
      <c r="K106" s="21"/>
      <c r="L106" s="48">
        <v>39203</v>
      </c>
      <c r="M106" s="61">
        <v>0.04</v>
      </c>
      <c r="N106" s="24">
        <f t="shared" si="10"/>
        <v>1.0004</v>
      </c>
      <c r="O106" s="50">
        <f t="shared" si="14"/>
        <v>1.3330807424522568</v>
      </c>
      <c r="P106" s="26"/>
      <c r="Q106" s="26"/>
      <c r="R106" s="26"/>
      <c r="S106" s="26"/>
      <c r="T106" s="26"/>
      <c r="U106"/>
      <c r="V106"/>
    </row>
    <row r="107" spans="1:22" s="27" customFormat="1" ht="21.75" customHeight="1">
      <c r="A107" s="62"/>
      <c r="B107" s="46">
        <f>B106+1</f>
        <v>2</v>
      </c>
      <c r="C107" s="42" t="s">
        <v>26</v>
      </c>
      <c r="D107" s="64">
        <v>39475</v>
      </c>
      <c r="E107" s="65"/>
      <c r="F107" s="47"/>
      <c r="G107" s="44">
        <v>8245050</v>
      </c>
      <c r="H107" s="45">
        <f>O114</f>
        <v>1.2426001035991756</v>
      </c>
      <c r="I107" s="44">
        <f t="shared" si="17"/>
        <v>10245299.984180383</v>
      </c>
      <c r="J107" s="58" t="s">
        <v>101</v>
      </c>
      <c r="K107" s="21"/>
      <c r="L107" s="48">
        <v>39234</v>
      </c>
      <c r="M107" s="61">
        <v>0.26</v>
      </c>
      <c r="N107" s="24">
        <v>1.0098</v>
      </c>
      <c r="O107" s="50">
        <f t="shared" si="14"/>
        <v>1.3325477233629117</v>
      </c>
      <c r="P107" s="26"/>
      <c r="Q107" s="26"/>
      <c r="R107" s="26"/>
      <c r="S107" s="26"/>
      <c r="T107" s="26"/>
      <c r="U107"/>
      <c r="V107"/>
    </row>
    <row r="108" spans="1:22" s="27" customFormat="1" ht="21.75" customHeight="1">
      <c r="A108" s="62"/>
      <c r="B108" s="46">
        <f aca="true" t="shared" si="18" ref="B108:B132">B107+1</f>
        <v>3</v>
      </c>
      <c r="C108" s="42" t="s">
        <v>35</v>
      </c>
      <c r="D108" s="64">
        <v>39497</v>
      </c>
      <c r="E108" s="63"/>
      <c r="F108" s="47"/>
      <c r="G108" s="44" t="s">
        <v>104</v>
      </c>
      <c r="H108" s="45">
        <f>O115</f>
        <v>1.2292018039362704</v>
      </c>
      <c r="I108" s="66"/>
      <c r="J108" s="58" t="s">
        <v>204</v>
      </c>
      <c r="K108" s="21"/>
      <c r="L108" s="48">
        <v>39264</v>
      </c>
      <c r="M108" s="61">
        <v>0.28</v>
      </c>
      <c r="N108" s="24">
        <f aca="true" t="shared" si="19" ref="N108:N115">M108/100+1</f>
        <v>1.0028</v>
      </c>
      <c r="O108" s="50">
        <f t="shared" si="14"/>
        <v>1.3196154915457632</v>
      </c>
      <c r="P108" s="26"/>
      <c r="Q108" s="26"/>
      <c r="R108" s="26"/>
      <c r="S108" s="26"/>
      <c r="T108" s="26"/>
      <c r="U108"/>
      <c r="V108"/>
    </row>
    <row r="109" spans="1:22" s="27" customFormat="1" ht="21.75" customHeight="1">
      <c r="A109" s="62"/>
      <c r="B109" s="46">
        <f t="shared" si="18"/>
        <v>4</v>
      </c>
      <c r="C109" s="42" t="s">
        <v>27</v>
      </c>
      <c r="D109" s="64">
        <v>39518</v>
      </c>
      <c r="E109" s="7"/>
      <c r="F109" s="47"/>
      <c r="G109" s="44">
        <v>8000000</v>
      </c>
      <c r="H109" s="45">
        <f>O116</f>
        <v>1.2227213806189896</v>
      </c>
      <c r="I109" s="44">
        <f t="shared" si="17"/>
        <v>9781771.044951918</v>
      </c>
      <c r="J109" s="58" t="s">
        <v>195</v>
      </c>
      <c r="K109" s="21"/>
      <c r="L109" s="48">
        <v>39295</v>
      </c>
      <c r="M109" s="61">
        <v>0.98</v>
      </c>
      <c r="N109" s="24">
        <f t="shared" si="19"/>
        <v>1.0098</v>
      </c>
      <c r="O109" s="50">
        <f t="shared" si="14"/>
        <v>1.3159308850675742</v>
      </c>
      <c r="P109" s="26"/>
      <c r="Q109" s="26"/>
      <c r="R109" s="26"/>
      <c r="S109" s="26"/>
      <c r="T109" s="26"/>
      <c r="U109"/>
      <c r="V109"/>
    </row>
    <row r="110" spans="1:22" s="27" customFormat="1" ht="21.75" customHeight="1">
      <c r="A110" s="62"/>
      <c r="B110" s="46">
        <f t="shared" si="18"/>
        <v>5</v>
      </c>
      <c r="C110" s="42" t="s">
        <v>28</v>
      </c>
      <c r="D110" s="64">
        <v>39525</v>
      </c>
      <c r="E110" s="7"/>
      <c r="F110" s="47"/>
      <c r="G110" s="44">
        <v>22224320</v>
      </c>
      <c r="H110" s="45">
        <f>O116</f>
        <v>1.2227213806189896</v>
      </c>
      <c r="I110" s="44">
        <f t="shared" si="17"/>
        <v>27174151.233718224</v>
      </c>
      <c r="J110" s="58" t="s">
        <v>101</v>
      </c>
      <c r="K110" s="21"/>
      <c r="L110" s="48">
        <v>39326</v>
      </c>
      <c r="M110" s="61">
        <v>1.29</v>
      </c>
      <c r="N110" s="24">
        <f t="shared" si="19"/>
        <v>1.0129</v>
      </c>
      <c r="O110" s="50">
        <f t="shared" si="14"/>
        <v>1.3031599178724245</v>
      </c>
      <c r="P110" s="26"/>
      <c r="Q110" s="26"/>
      <c r="R110" s="26"/>
      <c r="S110" s="26"/>
      <c r="T110" s="26"/>
      <c r="U110"/>
      <c r="V110"/>
    </row>
    <row r="111" spans="1:22" s="27" customFormat="1" ht="21.75" customHeight="1">
      <c r="A111" s="62"/>
      <c r="B111" s="46">
        <f t="shared" si="18"/>
        <v>6</v>
      </c>
      <c r="C111" s="42" t="s">
        <v>29</v>
      </c>
      <c r="D111" s="64">
        <v>39527</v>
      </c>
      <c r="E111" s="7"/>
      <c r="F111" s="47"/>
      <c r="G111" s="44">
        <v>4652485.9</v>
      </c>
      <c r="H111" s="45">
        <f>O116</f>
        <v>1.2227213806189896</v>
      </c>
      <c r="I111" s="44">
        <f t="shared" si="17"/>
        <v>5688693.982958383</v>
      </c>
      <c r="J111" s="58" t="s">
        <v>101</v>
      </c>
      <c r="K111" s="21"/>
      <c r="L111" s="48">
        <v>39356</v>
      </c>
      <c r="M111" s="61">
        <v>1.05</v>
      </c>
      <c r="N111" s="24">
        <f t="shared" si="19"/>
        <v>1.0105</v>
      </c>
      <c r="O111" s="50">
        <f t="shared" si="14"/>
        <v>1.2865632519226227</v>
      </c>
      <c r="P111" s="26"/>
      <c r="Q111" s="26"/>
      <c r="R111" s="26"/>
      <c r="S111" s="26"/>
      <c r="T111" s="26"/>
      <c r="U111"/>
      <c r="V111"/>
    </row>
    <row r="112" spans="1:22" s="27" customFormat="1" ht="21.75" customHeight="1">
      <c r="A112" s="62"/>
      <c r="B112" s="46">
        <f t="shared" si="18"/>
        <v>7</v>
      </c>
      <c r="C112" s="42" t="s">
        <v>30</v>
      </c>
      <c r="D112" s="64">
        <v>39568</v>
      </c>
      <c r="E112" s="7"/>
      <c r="F112" s="47"/>
      <c r="G112" s="44">
        <v>935977.5</v>
      </c>
      <c r="H112" s="45">
        <f>O117</f>
        <v>1.2216219208901886</v>
      </c>
      <c r="I112" s="44">
        <f t="shared" si="17"/>
        <v>1143410.6314599966</v>
      </c>
      <c r="J112" s="58" t="s">
        <v>195</v>
      </c>
      <c r="K112" s="21"/>
      <c r="L112" s="48">
        <v>39387</v>
      </c>
      <c r="M112" s="61">
        <v>0.69</v>
      </c>
      <c r="N112" s="24">
        <f t="shared" si="19"/>
        <v>1.0069</v>
      </c>
      <c r="O112" s="50">
        <f t="shared" si="14"/>
        <v>1.2731947074939365</v>
      </c>
      <c r="P112" s="26"/>
      <c r="Q112" s="26"/>
      <c r="R112" s="26"/>
      <c r="S112" s="26"/>
      <c r="T112" s="26"/>
      <c r="U112"/>
      <c r="V112"/>
    </row>
    <row r="113" spans="1:22" s="27" customFormat="1" ht="21.75" customHeight="1">
      <c r="A113" s="62"/>
      <c r="B113" s="46">
        <f t="shared" si="18"/>
        <v>8</v>
      </c>
      <c r="C113" s="42" t="s">
        <v>31</v>
      </c>
      <c r="D113" s="64">
        <v>39580</v>
      </c>
      <c r="E113" s="7"/>
      <c r="F113" s="47"/>
      <c r="G113" s="44">
        <v>19500000</v>
      </c>
      <c r="H113" s="45">
        <f>O118</f>
        <v>1.213250492491994</v>
      </c>
      <c r="I113" s="44">
        <f t="shared" si="17"/>
        <v>23658384.603593882</v>
      </c>
      <c r="J113" s="58" t="s">
        <v>195</v>
      </c>
      <c r="K113" s="21"/>
      <c r="L113" s="48">
        <v>39417</v>
      </c>
      <c r="M113" s="61">
        <v>1.76</v>
      </c>
      <c r="N113" s="24">
        <f t="shared" si="19"/>
        <v>1.0176</v>
      </c>
      <c r="O113" s="50">
        <f t="shared" si="14"/>
        <v>1.2644698654225213</v>
      </c>
      <c r="P113" s="26"/>
      <c r="Q113" s="26"/>
      <c r="R113" s="26"/>
      <c r="S113" s="26"/>
      <c r="T113" s="26"/>
      <c r="U113"/>
      <c r="V113"/>
    </row>
    <row r="114" spans="1:22" s="27" customFormat="1" ht="21.75" customHeight="1">
      <c r="A114" s="62"/>
      <c r="B114" s="46">
        <f t="shared" si="18"/>
        <v>9</v>
      </c>
      <c r="C114" s="42" t="s">
        <v>32</v>
      </c>
      <c r="D114" s="64">
        <v>39584</v>
      </c>
      <c r="E114" s="7"/>
      <c r="F114" s="47"/>
      <c r="G114" s="44">
        <v>15000000</v>
      </c>
      <c r="H114" s="45">
        <f>O118</f>
        <v>1.213250492491994</v>
      </c>
      <c r="I114" s="44">
        <f t="shared" si="17"/>
        <v>18198757.38737991</v>
      </c>
      <c r="J114" s="58" t="s">
        <v>195</v>
      </c>
      <c r="K114" s="21"/>
      <c r="L114" s="48">
        <v>39448</v>
      </c>
      <c r="M114" s="61">
        <v>1.09</v>
      </c>
      <c r="N114" s="24">
        <f t="shared" si="19"/>
        <v>1.0109</v>
      </c>
      <c r="O114" s="50">
        <f t="shared" si="14"/>
        <v>1.2426001035991756</v>
      </c>
      <c r="P114" s="26"/>
      <c r="Q114" s="26"/>
      <c r="R114" s="26"/>
      <c r="S114" s="26"/>
      <c r="T114" s="26"/>
      <c r="U114"/>
      <c r="V114"/>
    </row>
    <row r="115" spans="1:22" s="27" customFormat="1" ht="21.75" customHeight="1">
      <c r="A115" s="62"/>
      <c r="B115" s="46">
        <f t="shared" si="18"/>
        <v>10</v>
      </c>
      <c r="C115" s="42" t="s">
        <v>33</v>
      </c>
      <c r="D115" s="64">
        <v>39591</v>
      </c>
      <c r="E115" s="7"/>
      <c r="F115" s="47"/>
      <c r="G115" s="44">
        <v>569241.8</v>
      </c>
      <c r="H115" s="45">
        <f>O118</f>
        <v>1.213250492491994</v>
      </c>
      <c r="I115" s="44">
        <f t="shared" si="17"/>
        <v>690632.8941970292</v>
      </c>
      <c r="J115" s="58" t="s">
        <v>195</v>
      </c>
      <c r="K115" s="21"/>
      <c r="L115" s="48">
        <v>39479</v>
      </c>
      <c r="M115" s="61">
        <v>0.53</v>
      </c>
      <c r="N115" s="24">
        <f t="shared" si="19"/>
        <v>1.0053</v>
      </c>
      <c r="O115" s="50">
        <f t="shared" si="14"/>
        <v>1.2292018039362704</v>
      </c>
      <c r="P115" s="26"/>
      <c r="Q115" s="26"/>
      <c r="R115" s="26"/>
      <c r="S115" s="26"/>
      <c r="T115" s="26"/>
      <c r="U115"/>
      <c r="V115"/>
    </row>
    <row r="116" spans="1:22" s="27" customFormat="1" ht="21.75" customHeight="1">
      <c r="A116" s="62"/>
      <c r="B116" s="46">
        <f t="shared" si="18"/>
        <v>11</v>
      </c>
      <c r="C116" s="42" t="s">
        <v>36</v>
      </c>
      <c r="D116" s="64">
        <v>39622</v>
      </c>
      <c r="E116" s="63"/>
      <c r="F116" s="47"/>
      <c r="G116" s="44" t="s">
        <v>104</v>
      </c>
      <c r="H116" s="45">
        <f>O119</f>
        <v>1.1940266632142447</v>
      </c>
      <c r="I116" s="44">
        <v>0</v>
      </c>
      <c r="J116" s="58" t="s">
        <v>195</v>
      </c>
      <c r="K116" s="21"/>
      <c r="L116" s="48">
        <v>39508</v>
      </c>
      <c r="M116" s="61">
        <v>0.74</v>
      </c>
      <c r="N116" s="24">
        <v>1.0009</v>
      </c>
      <c r="O116" s="50">
        <f t="shared" si="14"/>
        <v>1.2227213806189896</v>
      </c>
      <c r="P116" s="26"/>
      <c r="Q116" s="26"/>
      <c r="R116" s="26"/>
      <c r="S116" s="26"/>
      <c r="T116" s="26"/>
      <c r="U116"/>
      <c r="V116"/>
    </row>
    <row r="117" spans="1:22" s="27" customFormat="1" ht="21.75" customHeight="1">
      <c r="A117" s="62"/>
      <c r="B117" s="46">
        <f t="shared" si="18"/>
        <v>12</v>
      </c>
      <c r="C117" s="42" t="s">
        <v>37</v>
      </c>
      <c r="D117" s="64">
        <v>39631</v>
      </c>
      <c r="E117" s="44"/>
      <c r="F117" s="47"/>
      <c r="G117" s="44">
        <v>330000</v>
      </c>
      <c r="H117" s="45">
        <f>O120</f>
        <v>1.1708439529459156</v>
      </c>
      <c r="I117" s="44">
        <f t="shared" si="17"/>
        <v>386378.50447215216</v>
      </c>
      <c r="J117" s="58" t="s">
        <v>195</v>
      </c>
      <c r="K117" s="21"/>
      <c r="L117" s="48">
        <v>39539</v>
      </c>
      <c r="M117" s="61">
        <v>0.69</v>
      </c>
      <c r="N117" s="24">
        <f aca="true" t="shared" si="20" ref="N117:N137">M117/100+1</f>
        <v>1.0069</v>
      </c>
      <c r="O117" s="50">
        <f t="shared" si="14"/>
        <v>1.2216219208901886</v>
      </c>
      <c r="P117" s="26"/>
      <c r="Q117" s="26"/>
      <c r="R117" s="26"/>
      <c r="S117" s="26"/>
      <c r="T117" s="26"/>
      <c r="U117"/>
      <c r="V117"/>
    </row>
    <row r="118" spans="1:22" s="27" customFormat="1" ht="21.75" customHeight="1">
      <c r="A118" s="62"/>
      <c r="B118" s="46">
        <f t="shared" si="18"/>
        <v>13</v>
      </c>
      <c r="C118" s="42" t="s">
        <v>38</v>
      </c>
      <c r="D118" s="64">
        <v>39639</v>
      </c>
      <c r="E118" s="44"/>
      <c r="F118" s="47"/>
      <c r="G118" s="44">
        <v>30625000</v>
      </c>
      <c r="H118" s="45">
        <f>O120</f>
        <v>1.1708439529459156</v>
      </c>
      <c r="I118" s="44">
        <f t="shared" si="17"/>
        <v>35857096.05896866</v>
      </c>
      <c r="J118" s="58" t="s">
        <v>195</v>
      </c>
      <c r="K118" s="21"/>
      <c r="L118" s="48">
        <v>39569</v>
      </c>
      <c r="M118" s="61">
        <v>1.61</v>
      </c>
      <c r="N118" s="24">
        <f t="shared" si="20"/>
        <v>1.0161</v>
      </c>
      <c r="O118" s="50">
        <f t="shared" si="14"/>
        <v>1.213250492491994</v>
      </c>
      <c r="P118" s="26"/>
      <c r="Q118" s="26"/>
      <c r="R118" s="26"/>
      <c r="S118" s="26"/>
      <c r="T118" s="26"/>
      <c r="U118"/>
      <c r="V118"/>
    </row>
    <row r="119" spans="1:22" s="27" customFormat="1" ht="21.75" customHeight="1">
      <c r="A119" s="62"/>
      <c r="B119" s="46">
        <f t="shared" si="18"/>
        <v>14</v>
      </c>
      <c r="C119" s="42" t="s">
        <v>39</v>
      </c>
      <c r="D119" s="64">
        <v>39639</v>
      </c>
      <c r="E119" s="44"/>
      <c r="F119" s="47"/>
      <c r="G119" s="44">
        <v>17272000</v>
      </c>
      <c r="H119" s="45">
        <f>O120</f>
        <v>1.1708439529459156</v>
      </c>
      <c r="I119" s="44">
        <f t="shared" si="17"/>
        <v>20222816.755281854</v>
      </c>
      <c r="J119" s="58" t="s">
        <v>195</v>
      </c>
      <c r="K119" s="21"/>
      <c r="L119" s="48">
        <v>39600</v>
      </c>
      <c r="M119" s="61">
        <v>1.98</v>
      </c>
      <c r="N119" s="24">
        <f t="shared" si="20"/>
        <v>1.0198</v>
      </c>
      <c r="O119" s="50">
        <f t="shared" si="14"/>
        <v>1.1940266632142447</v>
      </c>
      <c r="P119" s="26"/>
      <c r="Q119" s="26"/>
      <c r="R119" s="26"/>
      <c r="S119" s="26"/>
      <c r="T119" s="26"/>
      <c r="U119"/>
      <c r="V119"/>
    </row>
    <row r="120" spans="1:22" s="27" customFormat="1" ht="21.75" customHeight="1">
      <c r="A120" s="62"/>
      <c r="B120" s="46">
        <f t="shared" si="18"/>
        <v>15</v>
      </c>
      <c r="C120" s="42" t="s">
        <v>40</v>
      </c>
      <c r="D120" s="64">
        <v>39639</v>
      </c>
      <c r="E120" s="44"/>
      <c r="F120" s="47"/>
      <c r="G120" s="44">
        <v>1243031.77</v>
      </c>
      <c r="H120" s="45">
        <f>O120</f>
        <v>1.1708439529459156</v>
      </c>
      <c r="I120" s="44">
        <f t="shared" si="17"/>
        <v>1455396.231224158</v>
      </c>
      <c r="J120" s="58" t="s">
        <v>195</v>
      </c>
      <c r="K120" s="21"/>
      <c r="L120" s="48">
        <v>39630</v>
      </c>
      <c r="M120" s="61">
        <v>1.76</v>
      </c>
      <c r="N120" s="24">
        <f t="shared" si="20"/>
        <v>1.0176</v>
      </c>
      <c r="O120" s="50">
        <f t="shared" si="14"/>
        <v>1.1708439529459156</v>
      </c>
      <c r="P120" s="26"/>
      <c r="Q120" s="26"/>
      <c r="R120" s="26"/>
      <c r="S120" s="26"/>
      <c r="T120" s="26"/>
      <c r="U120"/>
      <c r="V120"/>
    </row>
    <row r="121" spans="1:22" s="27" customFormat="1" ht="21.75" customHeight="1">
      <c r="A121" s="62"/>
      <c r="B121" s="46">
        <f t="shared" si="18"/>
        <v>16</v>
      </c>
      <c r="C121" s="42" t="s">
        <v>41</v>
      </c>
      <c r="D121" s="64">
        <v>39653</v>
      </c>
      <c r="E121" s="44"/>
      <c r="F121" s="47"/>
      <c r="G121" s="44">
        <v>6047000</v>
      </c>
      <c r="H121" s="45">
        <f>O120</f>
        <v>1.1708439529459156</v>
      </c>
      <c r="I121" s="44">
        <f t="shared" si="17"/>
        <v>7080093.383463952</v>
      </c>
      <c r="J121" s="58" t="s">
        <v>195</v>
      </c>
      <c r="K121" s="21"/>
      <c r="L121" s="48">
        <v>39661</v>
      </c>
      <c r="M121" s="61">
        <v>-0.32</v>
      </c>
      <c r="N121" s="24">
        <f t="shared" si="20"/>
        <v>0.9968</v>
      </c>
      <c r="O121" s="50">
        <f t="shared" si="14"/>
        <v>1.1505935072188636</v>
      </c>
      <c r="P121" s="26"/>
      <c r="Q121" s="26"/>
      <c r="R121" s="26"/>
      <c r="S121" s="26"/>
      <c r="T121" s="26"/>
      <c r="U121"/>
      <c r="V121"/>
    </row>
    <row r="122" spans="1:22" s="27" customFormat="1" ht="21.75" customHeight="1">
      <c r="A122" s="62"/>
      <c r="B122" s="46">
        <f t="shared" si="18"/>
        <v>17</v>
      </c>
      <c r="C122" s="42" t="s">
        <v>42</v>
      </c>
      <c r="D122" s="64">
        <v>39666</v>
      </c>
      <c r="E122" s="63"/>
      <c r="F122" s="47"/>
      <c r="G122" s="44" t="s">
        <v>104</v>
      </c>
      <c r="H122" s="45">
        <f>O121</f>
        <v>1.1505935072188636</v>
      </c>
      <c r="I122" s="44">
        <v>0</v>
      </c>
      <c r="J122" s="58" t="s">
        <v>195</v>
      </c>
      <c r="K122" s="21"/>
      <c r="L122" s="48">
        <v>39692</v>
      </c>
      <c r="M122" s="61">
        <v>0.11</v>
      </c>
      <c r="N122" s="24">
        <f t="shared" si="20"/>
        <v>1.0011</v>
      </c>
      <c r="O122" s="50">
        <f t="shared" si="14"/>
        <v>1.1542872263431616</v>
      </c>
      <c r="P122" s="26"/>
      <c r="Q122" s="26"/>
      <c r="R122" s="26"/>
      <c r="S122" s="26"/>
      <c r="T122" s="26"/>
      <c r="U122"/>
      <c r="V122"/>
    </row>
    <row r="123" spans="1:22" s="27" customFormat="1" ht="21.75" customHeight="1">
      <c r="A123" s="62"/>
      <c r="B123" s="46">
        <f t="shared" si="18"/>
        <v>18</v>
      </c>
      <c r="C123" s="42" t="s">
        <v>43</v>
      </c>
      <c r="D123" s="64">
        <v>39715</v>
      </c>
      <c r="E123" s="44"/>
      <c r="F123" s="47"/>
      <c r="G123" s="44">
        <v>2229417.99</v>
      </c>
      <c r="H123" s="45">
        <f>O122</f>
        <v>1.1542872263431616</v>
      </c>
      <c r="I123" s="44">
        <f t="shared" si="17"/>
        <v>2573388.7080366467</v>
      </c>
      <c r="J123" s="58" t="s">
        <v>195</v>
      </c>
      <c r="K123" s="21"/>
      <c r="L123" s="48">
        <v>39722</v>
      </c>
      <c r="M123" s="61">
        <v>0.98</v>
      </c>
      <c r="N123" s="24">
        <f t="shared" si="20"/>
        <v>1.0098</v>
      </c>
      <c r="O123" s="50">
        <f t="shared" si="14"/>
        <v>1.1530189055470597</v>
      </c>
      <c r="P123" s="26"/>
      <c r="Q123" s="26"/>
      <c r="R123" s="26"/>
      <c r="S123" s="26"/>
      <c r="T123" s="26"/>
      <c r="U123"/>
      <c r="V123"/>
    </row>
    <row r="124" spans="1:22" s="27" customFormat="1" ht="21.75" customHeight="1">
      <c r="A124" s="62"/>
      <c r="B124" s="46">
        <f t="shared" si="18"/>
        <v>19</v>
      </c>
      <c r="C124" s="42" t="s">
        <v>44</v>
      </c>
      <c r="D124" s="64">
        <v>39723</v>
      </c>
      <c r="E124" s="63"/>
      <c r="F124" s="47"/>
      <c r="G124" s="44" t="s">
        <v>104</v>
      </c>
      <c r="H124" s="45">
        <f>O123</f>
        <v>1.1530189055470597</v>
      </c>
      <c r="I124" s="44">
        <v>0</v>
      </c>
      <c r="J124" s="58" t="s">
        <v>195</v>
      </c>
      <c r="K124" s="21"/>
      <c r="L124" s="48">
        <v>39753</v>
      </c>
      <c r="M124" s="61">
        <v>0.38</v>
      </c>
      <c r="N124" s="24">
        <f t="shared" si="20"/>
        <v>1.0038</v>
      </c>
      <c r="O124" s="50">
        <f t="shared" si="14"/>
        <v>1.1418289815280844</v>
      </c>
      <c r="P124" s="26"/>
      <c r="Q124" s="26"/>
      <c r="R124" s="26"/>
      <c r="S124" s="26"/>
      <c r="T124" s="26"/>
      <c r="U124"/>
      <c r="V124"/>
    </row>
    <row r="125" spans="1:22" s="27" customFormat="1" ht="21.75" customHeight="1">
      <c r="A125" s="62"/>
      <c r="B125" s="46">
        <f t="shared" si="18"/>
        <v>20</v>
      </c>
      <c r="C125" s="42" t="s">
        <v>45</v>
      </c>
      <c r="D125" s="64">
        <v>39724</v>
      </c>
      <c r="E125" s="63"/>
      <c r="F125" s="47"/>
      <c r="G125" s="44" t="s">
        <v>104</v>
      </c>
      <c r="H125" s="45">
        <f>O123</f>
        <v>1.1530189055470597</v>
      </c>
      <c r="I125" s="44">
        <v>0</v>
      </c>
      <c r="J125" s="58" t="s">
        <v>195</v>
      </c>
      <c r="K125" s="21"/>
      <c r="L125" s="48">
        <v>39783</v>
      </c>
      <c r="M125" s="25">
        <v>-0.13</v>
      </c>
      <c r="N125" s="24">
        <f t="shared" si="20"/>
        <v>0.9987</v>
      </c>
      <c r="O125" s="50">
        <f t="shared" si="14"/>
        <v>1.1375064569915165</v>
      </c>
      <c r="P125" s="26"/>
      <c r="Q125" s="26"/>
      <c r="R125" s="26"/>
      <c r="S125" s="26"/>
      <c r="T125" s="26"/>
      <c r="U125"/>
      <c r="V125"/>
    </row>
    <row r="126" spans="1:22" s="27" customFormat="1" ht="21.75" customHeight="1">
      <c r="A126" s="62"/>
      <c r="B126" s="46">
        <f t="shared" si="18"/>
        <v>21</v>
      </c>
      <c r="C126" s="42" t="s">
        <v>46</v>
      </c>
      <c r="D126" s="64">
        <v>39752</v>
      </c>
      <c r="E126" s="44"/>
      <c r="F126" s="47"/>
      <c r="G126" s="44">
        <v>1000000</v>
      </c>
      <c r="H126" s="45">
        <f>O123</f>
        <v>1.1530189055470597</v>
      </c>
      <c r="I126" s="44">
        <f t="shared" si="17"/>
        <v>1153018.9055470596</v>
      </c>
      <c r="J126" s="58" t="s">
        <v>183</v>
      </c>
      <c r="K126" s="21"/>
      <c r="L126" s="48">
        <v>39814</v>
      </c>
      <c r="M126" s="25">
        <v>-0.44</v>
      </c>
      <c r="N126" s="24">
        <f t="shared" si="20"/>
        <v>0.9956</v>
      </c>
      <c r="O126" s="50">
        <f t="shared" si="14"/>
        <v>1.1389871402738725</v>
      </c>
      <c r="P126" s="26"/>
      <c r="Q126" s="26"/>
      <c r="R126" s="26"/>
      <c r="S126" s="26"/>
      <c r="T126" s="26"/>
      <c r="U126"/>
      <c r="V126"/>
    </row>
    <row r="127" spans="1:22" s="27" customFormat="1" ht="21.75" customHeight="1">
      <c r="A127" s="62"/>
      <c r="B127" s="46">
        <f t="shared" si="18"/>
        <v>22</v>
      </c>
      <c r="C127" s="42" t="s">
        <v>102</v>
      </c>
      <c r="D127" s="64">
        <v>39757</v>
      </c>
      <c r="E127" s="44"/>
      <c r="F127" s="47"/>
      <c r="G127" s="44">
        <v>9180835.71</v>
      </c>
      <c r="H127" s="45">
        <f>O124</f>
        <v>1.1418289815280844</v>
      </c>
      <c r="I127" s="44">
        <f t="shared" si="17"/>
        <v>10482944.28832597</v>
      </c>
      <c r="J127" s="58" t="s">
        <v>195</v>
      </c>
      <c r="K127" s="21"/>
      <c r="L127" s="48">
        <v>39845</v>
      </c>
      <c r="M127" s="25">
        <v>0.26</v>
      </c>
      <c r="N127" s="24">
        <f t="shared" si="20"/>
        <v>1.0026</v>
      </c>
      <c r="O127" s="50">
        <f t="shared" si="14"/>
        <v>1.1440208319343836</v>
      </c>
      <c r="P127" s="26"/>
      <c r="Q127" s="26"/>
      <c r="R127" s="26"/>
      <c r="S127" s="26"/>
      <c r="T127" s="26"/>
      <c r="U127"/>
      <c r="V127"/>
    </row>
    <row r="128" spans="1:22" s="27" customFormat="1" ht="21.75" customHeight="1">
      <c r="A128" s="62"/>
      <c r="B128" s="46">
        <f t="shared" si="18"/>
        <v>23</v>
      </c>
      <c r="C128" s="42" t="s">
        <v>47</v>
      </c>
      <c r="D128" s="64">
        <v>39758</v>
      </c>
      <c r="E128" s="44"/>
      <c r="F128" s="47"/>
      <c r="G128" s="44">
        <v>14545442.98</v>
      </c>
      <c r="H128" s="45">
        <f>O124</f>
        <v>1.1418289815280844</v>
      </c>
      <c r="I128" s="44">
        <f t="shared" si="17"/>
        <v>16608408.343728226</v>
      </c>
      <c r="J128" s="58" t="s">
        <v>300</v>
      </c>
      <c r="K128" s="21"/>
      <c r="L128" s="48">
        <v>39873</v>
      </c>
      <c r="M128" s="25">
        <v>-0.74</v>
      </c>
      <c r="N128" s="24">
        <f t="shared" si="20"/>
        <v>0.9926</v>
      </c>
      <c r="O128" s="50">
        <f t="shared" si="14"/>
        <v>1.1410540912970115</v>
      </c>
      <c r="P128" s="26"/>
      <c r="Q128" s="26"/>
      <c r="R128" s="26"/>
      <c r="S128" s="26"/>
      <c r="T128" s="26"/>
      <c r="U128"/>
      <c r="V128"/>
    </row>
    <row r="129" spans="1:22" s="27" customFormat="1" ht="21.75" customHeight="1">
      <c r="A129" s="62"/>
      <c r="B129" s="46">
        <f t="shared" si="18"/>
        <v>24</v>
      </c>
      <c r="C129" s="42" t="s">
        <v>48</v>
      </c>
      <c r="D129" s="64">
        <v>39765</v>
      </c>
      <c r="E129" s="44"/>
      <c r="F129" s="47"/>
      <c r="G129" s="44">
        <v>70000000</v>
      </c>
      <c r="H129" s="45">
        <f>O124</f>
        <v>1.1418289815280844</v>
      </c>
      <c r="I129" s="44">
        <f t="shared" si="17"/>
        <v>79928028.70696591</v>
      </c>
      <c r="J129" s="58" t="s">
        <v>183</v>
      </c>
      <c r="K129" s="21"/>
      <c r="L129" s="48">
        <v>39904</v>
      </c>
      <c r="M129" s="25">
        <v>-0.15</v>
      </c>
      <c r="N129" s="24">
        <f t="shared" si="20"/>
        <v>0.9985</v>
      </c>
      <c r="O129" s="50">
        <f t="shared" si="14"/>
        <v>1.1495608415242913</v>
      </c>
      <c r="P129" s="26"/>
      <c r="Q129" s="26"/>
      <c r="R129" s="26"/>
      <c r="S129" s="26"/>
      <c r="T129" s="26"/>
      <c r="U129"/>
      <c r="V129"/>
    </row>
    <row r="130" spans="1:22" s="27" customFormat="1" ht="21.75" customHeight="1">
      <c r="A130" s="62"/>
      <c r="B130" s="46">
        <f t="shared" si="18"/>
        <v>25</v>
      </c>
      <c r="C130" s="42" t="s">
        <v>49</v>
      </c>
      <c r="D130" s="64">
        <v>39779</v>
      </c>
      <c r="E130" s="63"/>
      <c r="F130" s="47"/>
      <c r="G130" s="44" t="s">
        <v>104</v>
      </c>
      <c r="H130" s="45">
        <f>O124</f>
        <v>1.1418289815280844</v>
      </c>
      <c r="I130" s="44">
        <v>0</v>
      </c>
      <c r="J130" s="58" t="s">
        <v>195</v>
      </c>
      <c r="K130" s="21"/>
      <c r="L130" s="48">
        <v>39934</v>
      </c>
      <c r="M130" s="25">
        <v>-0.07</v>
      </c>
      <c r="N130" s="24">
        <f t="shared" si="20"/>
        <v>0.9993</v>
      </c>
      <c r="O130" s="50">
        <f aca="true" t="shared" si="21" ref="O130:O136">O131*N130</f>
        <v>1.1512877731840674</v>
      </c>
      <c r="P130" s="26"/>
      <c r="Q130" s="26"/>
      <c r="R130" s="26"/>
      <c r="S130" s="26"/>
      <c r="T130" s="26"/>
      <c r="U130"/>
      <c r="V130"/>
    </row>
    <row r="131" spans="1:22" s="27" customFormat="1" ht="21.75" customHeight="1">
      <c r="A131" s="62"/>
      <c r="B131" s="46">
        <f t="shared" si="18"/>
        <v>26</v>
      </c>
      <c r="C131" s="42" t="s">
        <v>50</v>
      </c>
      <c r="D131" s="64">
        <v>39797</v>
      </c>
      <c r="E131" s="44"/>
      <c r="F131" s="47"/>
      <c r="G131" s="44">
        <v>896693</v>
      </c>
      <c r="H131" s="45">
        <f>O125</f>
        <v>1.1375064569915165</v>
      </c>
      <c r="I131" s="44">
        <f t="shared" si="17"/>
        <v>1019994.077439094</v>
      </c>
      <c r="J131" s="58" t="s">
        <v>195</v>
      </c>
      <c r="K131" s="21"/>
      <c r="L131" s="48">
        <v>39965</v>
      </c>
      <c r="M131" s="49">
        <v>-0.1</v>
      </c>
      <c r="N131" s="24">
        <f t="shared" si="20"/>
        <v>0.999</v>
      </c>
      <c r="O131" s="50">
        <f t="shared" si="21"/>
        <v>1.1520942391514735</v>
      </c>
      <c r="P131" s="26"/>
      <c r="Q131" s="26"/>
      <c r="R131" s="26"/>
      <c r="S131" s="26"/>
      <c r="T131" s="26"/>
      <c r="U131"/>
      <c r="V131"/>
    </row>
    <row r="132" spans="1:22" s="27" customFormat="1" ht="21.75" customHeight="1">
      <c r="A132" s="62"/>
      <c r="B132" s="46">
        <f t="shared" si="18"/>
        <v>27</v>
      </c>
      <c r="C132" s="42" t="s">
        <v>51</v>
      </c>
      <c r="D132" s="64">
        <v>39801</v>
      </c>
      <c r="E132" s="44"/>
      <c r="F132" s="47"/>
      <c r="G132" s="44">
        <v>3710000000</v>
      </c>
      <c r="H132" s="45">
        <f>O125</f>
        <v>1.1375064569915165</v>
      </c>
      <c r="I132" s="44">
        <f t="shared" si="17"/>
        <v>4220148955.438526</v>
      </c>
      <c r="J132" s="58" t="s">
        <v>532</v>
      </c>
      <c r="K132" s="21"/>
      <c r="L132" s="48">
        <v>39995</v>
      </c>
      <c r="M132" s="73">
        <v>-0.43</v>
      </c>
      <c r="N132" s="24">
        <f t="shared" si="20"/>
        <v>0.9957</v>
      </c>
      <c r="O132" s="50">
        <f t="shared" si="21"/>
        <v>1.1532474866381115</v>
      </c>
      <c r="P132" s="26"/>
      <c r="Q132" s="26"/>
      <c r="R132" s="26"/>
      <c r="S132" s="26"/>
      <c r="T132" s="26"/>
      <c r="U132"/>
      <c r="V132"/>
    </row>
    <row r="133" spans="1:22" s="27" customFormat="1" ht="27" customHeight="1">
      <c r="A133" s="62"/>
      <c r="B133" s="46"/>
      <c r="C133" s="53"/>
      <c r="D133" s="680" t="s">
        <v>206</v>
      </c>
      <c r="E133" s="680"/>
      <c r="F133" s="680"/>
      <c r="G133" s="680"/>
      <c r="H133" s="686"/>
      <c r="I133" s="54">
        <f>SUM(I106:I132)</f>
        <v>4493497621.164419</v>
      </c>
      <c r="J133" s="55"/>
      <c r="K133" s="21"/>
      <c r="L133" s="48">
        <v>40026</v>
      </c>
      <c r="M133" s="73">
        <v>-0.36</v>
      </c>
      <c r="N133" s="24">
        <f t="shared" si="20"/>
        <v>0.9964</v>
      </c>
      <c r="O133" s="50">
        <f t="shared" si="21"/>
        <v>1.1582278664639063</v>
      </c>
      <c r="P133" s="26"/>
      <c r="Q133" s="26"/>
      <c r="R133" s="26"/>
      <c r="S133" s="26"/>
      <c r="T133" s="26"/>
      <c r="U133"/>
      <c r="V133"/>
    </row>
    <row r="134" spans="1:22" s="27" customFormat="1" ht="21.75" customHeight="1">
      <c r="A134" s="62"/>
      <c r="B134" s="46">
        <v>1</v>
      </c>
      <c r="C134" s="42" t="s">
        <v>52</v>
      </c>
      <c r="D134" s="64">
        <v>39836</v>
      </c>
      <c r="E134" s="44"/>
      <c r="F134" s="47"/>
      <c r="G134" s="44">
        <v>12000000</v>
      </c>
      <c r="H134" s="45">
        <f>O126</f>
        <v>1.1389871402738725</v>
      </c>
      <c r="I134" s="44">
        <f t="shared" si="17"/>
        <v>13667845.68328647</v>
      </c>
      <c r="J134" s="41" t="s">
        <v>101</v>
      </c>
      <c r="K134" s="21"/>
      <c r="L134" s="48">
        <v>40057</v>
      </c>
      <c r="M134" s="49">
        <v>0.42</v>
      </c>
      <c r="N134" s="24">
        <f t="shared" si="20"/>
        <v>1.0042</v>
      </c>
      <c r="O134" s="50">
        <f t="shared" si="21"/>
        <v>1.1624125516498458</v>
      </c>
      <c r="P134" s="26"/>
      <c r="Q134" s="26"/>
      <c r="R134" s="26"/>
      <c r="S134" s="26"/>
      <c r="T134" s="26"/>
      <c r="U134"/>
      <c r="V134"/>
    </row>
    <row r="135" spans="1:22" s="27" customFormat="1" ht="21.75" customHeight="1">
      <c r="A135" s="62"/>
      <c r="B135" s="46">
        <f>B134+1</f>
        <v>2</v>
      </c>
      <c r="C135" s="42" t="s">
        <v>53</v>
      </c>
      <c r="D135" s="64">
        <v>39840</v>
      </c>
      <c r="E135" s="44"/>
      <c r="F135" s="47"/>
      <c r="G135" s="44">
        <v>102000000</v>
      </c>
      <c r="H135" s="45">
        <f>O126</f>
        <v>1.1389871402738725</v>
      </c>
      <c r="I135" s="44">
        <f t="shared" si="17"/>
        <v>116176688.307935</v>
      </c>
      <c r="J135" s="41" t="s">
        <v>195</v>
      </c>
      <c r="K135" s="21"/>
      <c r="L135" s="48">
        <v>40087</v>
      </c>
      <c r="M135" s="49">
        <v>0.05</v>
      </c>
      <c r="N135" s="24">
        <f t="shared" si="20"/>
        <v>1.0005</v>
      </c>
      <c r="O135" s="50">
        <f t="shared" si="21"/>
        <v>1.157550838129701</v>
      </c>
      <c r="P135" s="26"/>
      <c r="Q135" s="26"/>
      <c r="R135" s="26"/>
      <c r="S135" s="26"/>
      <c r="T135" s="26"/>
      <c r="U135"/>
      <c r="V135"/>
    </row>
    <row r="136" spans="1:22" s="27" customFormat="1" ht="21.75" customHeight="1">
      <c r="A136" s="62"/>
      <c r="B136" s="46">
        <f aca="true" t="shared" si="22" ref="B136:B182">B135+1</f>
        <v>3</v>
      </c>
      <c r="C136" s="42" t="s">
        <v>54</v>
      </c>
      <c r="D136" s="64">
        <v>39840</v>
      </c>
      <c r="E136" s="67">
        <v>50000000</v>
      </c>
      <c r="F136" s="41">
        <v>1.71</v>
      </c>
      <c r="G136" s="44">
        <f>E136*F136</f>
        <v>85500000</v>
      </c>
      <c r="H136" s="45">
        <f>O126</f>
        <v>1.1389871402738725</v>
      </c>
      <c r="I136" s="44">
        <f t="shared" si="17"/>
        <v>97383400.4934161</v>
      </c>
      <c r="J136" s="41" t="s">
        <v>204</v>
      </c>
      <c r="K136" s="21"/>
      <c r="L136" s="48">
        <v>40118</v>
      </c>
      <c r="M136" s="49">
        <v>0.1</v>
      </c>
      <c r="N136" s="24">
        <f t="shared" si="20"/>
        <v>1.001</v>
      </c>
      <c r="O136" s="50">
        <f t="shared" si="21"/>
        <v>1.1569723519537243</v>
      </c>
      <c r="P136" s="26"/>
      <c r="Q136" s="26"/>
      <c r="R136" s="26"/>
      <c r="S136" s="26"/>
      <c r="T136" s="26"/>
      <c r="U136"/>
      <c r="V136"/>
    </row>
    <row r="137" spans="1:22" s="27" customFormat="1" ht="21.75" customHeight="1">
      <c r="A137" s="62"/>
      <c r="B137" s="46">
        <f t="shared" si="22"/>
        <v>4</v>
      </c>
      <c r="C137" s="42" t="s">
        <v>55</v>
      </c>
      <c r="D137" s="64">
        <v>39849</v>
      </c>
      <c r="E137" s="44"/>
      <c r="F137" s="47"/>
      <c r="G137" s="44">
        <v>5238346.32</v>
      </c>
      <c r="H137" s="45">
        <f>O127</f>
        <v>1.1440208319343836</v>
      </c>
      <c r="I137" s="44">
        <f t="shared" si="17"/>
        <v>5992777.314966817</v>
      </c>
      <c r="J137" s="41" t="s">
        <v>204</v>
      </c>
      <c r="K137" s="21"/>
      <c r="L137" s="48">
        <v>40148</v>
      </c>
      <c r="M137" s="49">
        <v>-0.26</v>
      </c>
      <c r="N137" s="24">
        <f t="shared" si="20"/>
        <v>0.9974</v>
      </c>
      <c r="O137" s="50">
        <f>O138*N137</f>
        <v>1.155816535418306</v>
      </c>
      <c r="P137" s="26"/>
      <c r="Q137" s="26"/>
      <c r="R137" s="26"/>
      <c r="S137" s="26"/>
      <c r="T137" s="26"/>
      <c r="U137"/>
      <c r="V137"/>
    </row>
    <row r="138" spans="1:22" s="27" customFormat="1" ht="21.75" customHeight="1">
      <c r="A138" s="62"/>
      <c r="B138" s="46">
        <f t="shared" si="22"/>
        <v>5</v>
      </c>
      <c r="C138" s="42" t="s">
        <v>103</v>
      </c>
      <c r="D138" s="64">
        <v>39863</v>
      </c>
      <c r="E138" s="44"/>
      <c r="F138" s="47"/>
      <c r="G138" s="44">
        <v>7000000</v>
      </c>
      <c r="H138" s="45">
        <f>O127</f>
        <v>1.1440208319343836</v>
      </c>
      <c r="I138" s="44">
        <f t="shared" si="17"/>
        <v>8008145.823540686</v>
      </c>
      <c r="J138" s="41" t="s">
        <v>195</v>
      </c>
      <c r="K138" s="21"/>
      <c r="L138" s="48">
        <v>40179</v>
      </c>
      <c r="M138" s="49">
        <v>0.63</v>
      </c>
      <c r="N138" s="24">
        <f aca="true" t="shared" si="23" ref="N138:N145">M138/100+1</f>
        <v>1.0063</v>
      </c>
      <c r="O138" s="50">
        <f aca="true" t="shared" si="24" ref="O138:O144">O139*N138</f>
        <v>1.1588294920977604</v>
      </c>
      <c r="P138" s="26"/>
      <c r="Q138" s="26"/>
      <c r="R138" s="26"/>
      <c r="S138" s="26"/>
      <c r="T138" s="26"/>
      <c r="U138"/>
      <c r="V138"/>
    </row>
    <row r="139" spans="1:22" s="27" customFormat="1" ht="21.75" customHeight="1">
      <c r="A139" s="62"/>
      <c r="B139" s="46">
        <f t="shared" si="22"/>
        <v>6</v>
      </c>
      <c r="C139" s="42" t="s">
        <v>56</v>
      </c>
      <c r="D139" s="64">
        <v>39874</v>
      </c>
      <c r="E139" s="44"/>
      <c r="F139" s="47"/>
      <c r="G139" s="44">
        <v>300000</v>
      </c>
      <c r="H139" s="45">
        <f>O128</f>
        <v>1.1410540912970115</v>
      </c>
      <c r="I139" s="44">
        <f t="shared" si="17"/>
        <v>342316.22738910344</v>
      </c>
      <c r="J139" s="41" t="s">
        <v>195</v>
      </c>
      <c r="K139" s="21"/>
      <c r="L139" s="48">
        <v>40210</v>
      </c>
      <c r="M139" s="80">
        <v>1.18</v>
      </c>
      <c r="N139" s="81">
        <f t="shared" si="23"/>
        <v>1.0118</v>
      </c>
      <c r="O139" s="50">
        <f t="shared" si="24"/>
        <v>1.1515745722923187</v>
      </c>
      <c r="P139" s="26"/>
      <c r="Q139" s="26"/>
      <c r="R139" s="26"/>
      <c r="S139" s="26"/>
      <c r="T139" s="26"/>
      <c r="U139"/>
      <c r="V139"/>
    </row>
    <row r="140" spans="1:22" s="27" customFormat="1" ht="21.75" customHeight="1">
      <c r="A140" s="62"/>
      <c r="B140" s="46">
        <f t="shared" si="22"/>
        <v>7</v>
      </c>
      <c r="C140" s="42" t="s">
        <v>57</v>
      </c>
      <c r="D140" s="64">
        <v>39875</v>
      </c>
      <c r="E140" s="44"/>
      <c r="F140" s="47"/>
      <c r="G140" s="44">
        <v>15827376</v>
      </c>
      <c r="H140" s="45">
        <f>O128</f>
        <v>1.1410540912970115</v>
      </c>
      <c r="I140" s="44">
        <f t="shared" si="17"/>
        <v>18059892.13929613</v>
      </c>
      <c r="J140" s="41" t="s">
        <v>101</v>
      </c>
      <c r="K140" s="21"/>
      <c r="L140" s="48">
        <v>40238</v>
      </c>
      <c r="M140" s="80">
        <v>0.94</v>
      </c>
      <c r="N140" s="81">
        <f t="shared" si="23"/>
        <v>1.0094</v>
      </c>
      <c r="O140" s="50">
        <f t="shared" si="24"/>
        <v>1.1381444675749344</v>
      </c>
      <c r="P140" s="26"/>
      <c r="Q140" s="26"/>
      <c r="R140" s="26"/>
      <c r="S140" s="26"/>
      <c r="T140" s="26"/>
      <c r="U140"/>
      <c r="V140"/>
    </row>
    <row r="141" spans="1:22" s="27" customFormat="1" ht="21.75" customHeight="1">
      <c r="A141" s="62"/>
      <c r="B141" s="46">
        <f t="shared" si="22"/>
        <v>8</v>
      </c>
      <c r="C141" s="42" t="s">
        <v>58</v>
      </c>
      <c r="D141" s="64">
        <v>39877</v>
      </c>
      <c r="E141" s="63"/>
      <c r="F141" s="47"/>
      <c r="G141" s="44" t="s">
        <v>104</v>
      </c>
      <c r="H141" s="45">
        <f>O128</f>
        <v>1.1410540912970115</v>
      </c>
      <c r="I141" s="44">
        <v>0</v>
      </c>
      <c r="J141" s="41" t="s">
        <v>195</v>
      </c>
      <c r="K141" s="21"/>
      <c r="L141" s="48">
        <v>40269</v>
      </c>
      <c r="M141" s="80">
        <v>0.77</v>
      </c>
      <c r="N141" s="81">
        <f t="shared" si="23"/>
        <v>1.0077</v>
      </c>
      <c r="O141" s="50">
        <f t="shared" si="24"/>
        <v>1.1275455395036005</v>
      </c>
      <c r="P141" s="26"/>
      <c r="Q141" s="26"/>
      <c r="R141" s="26"/>
      <c r="S141" s="26"/>
      <c r="T141" s="26"/>
      <c r="U141"/>
      <c r="V141"/>
    </row>
    <row r="142" spans="1:22" s="27" customFormat="1" ht="21.75" customHeight="1">
      <c r="A142" s="62"/>
      <c r="B142" s="46">
        <f t="shared" si="22"/>
        <v>9</v>
      </c>
      <c r="C142" s="42" t="s">
        <v>59</v>
      </c>
      <c r="D142" s="64">
        <v>39877</v>
      </c>
      <c r="E142" s="44"/>
      <c r="F142" s="47"/>
      <c r="G142" s="44">
        <v>17112185.16</v>
      </c>
      <c r="H142" s="45">
        <f>O128</f>
        <v>1.1410540912970115</v>
      </c>
      <c r="I142" s="44">
        <f t="shared" si="17"/>
        <v>19525928.887850005</v>
      </c>
      <c r="J142" s="41" t="s">
        <v>195</v>
      </c>
      <c r="K142" s="21"/>
      <c r="L142" s="48">
        <v>40299</v>
      </c>
      <c r="M142" s="80">
        <v>1.14</v>
      </c>
      <c r="N142" s="81">
        <f t="shared" si="23"/>
        <v>1.0114</v>
      </c>
      <c r="O142" s="50">
        <f t="shared" si="24"/>
        <v>1.1189297801960905</v>
      </c>
      <c r="P142" s="26"/>
      <c r="Q142" s="26"/>
      <c r="R142" s="26"/>
      <c r="S142" s="26"/>
      <c r="T142" s="26"/>
      <c r="U142"/>
      <c r="V142"/>
    </row>
    <row r="143" spans="1:22" s="27" customFormat="1" ht="21.75" customHeight="1">
      <c r="A143" s="62"/>
      <c r="B143" s="46">
        <f t="shared" si="22"/>
        <v>10</v>
      </c>
      <c r="C143" s="42" t="s">
        <v>60</v>
      </c>
      <c r="D143" s="64">
        <v>39959</v>
      </c>
      <c r="E143" s="44"/>
      <c r="F143" s="47"/>
      <c r="G143" s="44">
        <v>126229677.4</v>
      </c>
      <c r="H143" s="45">
        <f>O130</f>
        <v>1.1512877731840674</v>
      </c>
      <c r="I143" s="44">
        <f t="shared" si="17"/>
        <v>145326684.2035892</v>
      </c>
      <c r="J143" s="41" t="s">
        <v>101</v>
      </c>
      <c r="K143" s="21"/>
      <c r="L143" s="48">
        <v>40330</v>
      </c>
      <c r="M143" s="80">
        <v>0.85</v>
      </c>
      <c r="N143" s="81">
        <f t="shared" si="23"/>
        <v>1.0085</v>
      </c>
      <c r="O143" s="50">
        <f t="shared" si="24"/>
        <v>1.106317757757653</v>
      </c>
      <c r="P143" s="26"/>
      <c r="Q143" s="26"/>
      <c r="R143" s="26"/>
      <c r="S143" s="26"/>
      <c r="T143" s="26"/>
      <c r="U143"/>
      <c r="V143"/>
    </row>
    <row r="144" spans="1:22" s="27" customFormat="1" ht="21.75" customHeight="1">
      <c r="A144" s="62"/>
      <c r="B144" s="46">
        <f t="shared" si="22"/>
        <v>11</v>
      </c>
      <c r="C144" s="42" t="s">
        <v>61</v>
      </c>
      <c r="D144" s="64">
        <v>39889</v>
      </c>
      <c r="E144" s="44"/>
      <c r="F144" s="47"/>
      <c r="G144" s="44">
        <v>2485200</v>
      </c>
      <c r="H144" s="45">
        <f>O128</f>
        <v>1.1410540912970115</v>
      </c>
      <c r="I144" s="44">
        <f t="shared" si="17"/>
        <v>2835747.627691333</v>
      </c>
      <c r="J144" s="58" t="s">
        <v>101</v>
      </c>
      <c r="K144" s="21"/>
      <c r="L144" s="84">
        <v>40360</v>
      </c>
      <c r="M144" s="80">
        <v>0.15</v>
      </c>
      <c r="N144" s="81">
        <f t="shared" si="23"/>
        <v>1.0015</v>
      </c>
      <c r="O144" s="50">
        <f t="shared" si="24"/>
        <v>1.0969933145836916</v>
      </c>
      <c r="P144" s="26"/>
      <c r="Q144" s="26"/>
      <c r="R144" s="26"/>
      <c r="S144" s="26"/>
      <c r="T144" s="26"/>
      <c r="U144"/>
      <c r="V144"/>
    </row>
    <row r="145" spans="1:22" s="27" customFormat="1" ht="21.75" customHeight="1">
      <c r="A145" s="62"/>
      <c r="B145" s="46">
        <f t="shared" si="22"/>
        <v>12</v>
      </c>
      <c r="C145" s="42" t="s">
        <v>62</v>
      </c>
      <c r="D145" s="64">
        <v>39892</v>
      </c>
      <c r="E145" s="44"/>
      <c r="F145" s="47"/>
      <c r="G145" s="44">
        <v>12000000</v>
      </c>
      <c r="H145" s="45">
        <f>O128</f>
        <v>1.1410540912970115</v>
      </c>
      <c r="I145" s="44">
        <f t="shared" si="17"/>
        <v>13692649.095564138</v>
      </c>
      <c r="J145" s="41" t="s">
        <v>204</v>
      </c>
      <c r="K145" s="21"/>
      <c r="L145" s="84">
        <v>40391</v>
      </c>
      <c r="M145" s="85">
        <v>0.77</v>
      </c>
      <c r="N145" s="81">
        <f t="shared" si="23"/>
        <v>1.0077</v>
      </c>
      <c r="O145" s="50">
        <f>O146*N145</f>
        <v>1.0953502891499667</v>
      </c>
      <c r="P145" s="26"/>
      <c r="Q145" s="26"/>
      <c r="R145" s="26"/>
      <c r="S145" s="26"/>
      <c r="T145" s="26"/>
      <c r="U145"/>
      <c r="V145"/>
    </row>
    <row r="146" spans="1:22" s="27" customFormat="1" ht="21.75" customHeight="1">
      <c r="A146" s="62"/>
      <c r="B146" s="46">
        <f t="shared" si="22"/>
        <v>13</v>
      </c>
      <c r="C146" s="42" t="s">
        <v>63</v>
      </c>
      <c r="D146" s="64">
        <v>39892</v>
      </c>
      <c r="E146" s="44"/>
      <c r="F146" s="47"/>
      <c r="G146" s="44">
        <v>10000000</v>
      </c>
      <c r="H146" s="45">
        <f>O128</f>
        <v>1.1410540912970115</v>
      </c>
      <c r="I146" s="44">
        <f t="shared" si="17"/>
        <v>11410540.912970114</v>
      </c>
      <c r="J146" s="41" t="s">
        <v>195</v>
      </c>
      <c r="K146" s="21"/>
      <c r="L146" s="84">
        <v>40422</v>
      </c>
      <c r="M146" s="85">
        <v>1.15</v>
      </c>
      <c r="N146" s="81">
        <f>M146/100+1</f>
        <v>1.0115</v>
      </c>
      <c r="O146" s="50">
        <f>O147*N146</f>
        <v>1.0869805389996692</v>
      </c>
      <c r="P146" s="26"/>
      <c r="Q146" s="26"/>
      <c r="R146" s="26"/>
      <c r="S146" s="26"/>
      <c r="T146" s="26"/>
      <c r="U146"/>
      <c r="V146"/>
    </row>
    <row r="147" spans="1:22" s="27" customFormat="1" ht="21.75" customHeight="1">
      <c r="A147" s="62"/>
      <c r="B147" s="46">
        <f t="shared" si="22"/>
        <v>14</v>
      </c>
      <c r="C147" s="42" t="s">
        <v>64</v>
      </c>
      <c r="D147" s="64">
        <v>39896</v>
      </c>
      <c r="E147" s="68"/>
      <c r="F147" s="47"/>
      <c r="G147" s="68">
        <v>50000</v>
      </c>
      <c r="H147" s="45">
        <f>O128</f>
        <v>1.1410540912970115</v>
      </c>
      <c r="I147" s="44">
        <f t="shared" si="17"/>
        <v>57052.704564850574</v>
      </c>
      <c r="J147" s="41" t="s">
        <v>204</v>
      </c>
      <c r="K147" s="21"/>
      <c r="L147" s="84">
        <v>40452</v>
      </c>
      <c r="M147" s="85">
        <v>1.01</v>
      </c>
      <c r="N147" s="81">
        <f>M147/100+1</f>
        <v>1.0101</v>
      </c>
      <c r="O147" s="50">
        <f>O148*N147</f>
        <v>1.0746223816111409</v>
      </c>
      <c r="P147" s="26"/>
      <c r="Q147" s="26"/>
      <c r="R147" s="26"/>
      <c r="S147" s="26"/>
      <c r="T147" s="26"/>
      <c r="U147"/>
      <c r="V147"/>
    </row>
    <row r="148" spans="1:22" s="27" customFormat="1" ht="21.75" customHeight="1">
      <c r="A148" s="62"/>
      <c r="B148" s="46">
        <f t="shared" si="22"/>
        <v>15</v>
      </c>
      <c r="C148" s="42" t="s">
        <v>65</v>
      </c>
      <c r="D148" s="64">
        <v>39917</v>
      </c>
      <c r="E148" s="63"/>
      <c r="F148" s="47"/>
      <c r="G148" s="44" t="s">
        <v>104</v>
      </c>
      <c r="H148" s="45">
        <f>O129</f>
        <v>1.1495608415242913</v>
      </c>
      <c r="I148" s="44">
        <v>0</v>
      </c>
      <c r="J148" s="41" t="s">
        <v>204</v>
      </c>
      <c r="K148" s="21"/>
      <c r="L148" s="84">
        <v>40483</v>
      </c>
      <c r="M148" s="85">
        <v>1.45</v>
      </c>
      <c r="N148" s="81">
        <f>M148/100+1</f>
        <v>1.0145</v>
      </c>
      <c r="O148" s="50">
        <f>O149*N148</f>
        <v>1.0638772216722512</v>
      </c>
      <c r="P148" s="26"/>
      <c r="Q148" s="26"/>
      <c r="R148" s="26"/>
      <c r="S148" s="26"/>
      <c r="T148" s="26"/>
      <c r="U148"/>
      <c r="V148"/>
    </row>
    <row r="149" spans="1:22" s="27" customFormat="1" ht="21.75" customHeight="1">
      <c r="A149" s="62"/>
      <c r="B149" s="46">
        <f t="shared" si="22"/>
        <v>16</v>
      </c>
      <c r="C149" s="42" t="s">
        <v>66</v>
      </c>
      <c r="D149" s="64">
        <v>39927</v>
      </c>
      <c r="E149" s="63"/>
      <c r="F149" s="47"/>
      <c r="G149" s="44" t="s">
        <v>104</v>
      </c>
      <c r="H149" s="45">
        <f>O129</f>
        <v>1.1495608415242913</v>
      </c>
      <c r="I149" s="44">
        <v>0</v>
      </c>
      <c r="J149" s="41" t="s">
        <v>204</v>
      </c>
      <c r="K149" s="21"/>
      <c r="L149" s="84">
        <v>40513</v>
      </c>
      <c r="M149" s="85">
        <v>0.69</v>
      </c>
      <c r="N149" s="81">
        <f>M149/100+1</f>
        <v>1.0069</v>
      </c>
      <c r="O149" s="50">
        <f>O150*N149</f>
        <v>1.0486714851377539</v>
      </c>
      <c r="P149" s="26"/>
      <c r="Q149" s="26"/>
      <c r="R149" s="26"/>
      <c r="S149" s="26"/>
      <c r="T149" s="26"/>
      <c r="U149"/>
      <c r="V149"/>
    </row>
    <row r="150" spans="1:22" s="27" customFormat="1" ht="21.75" customHeight="1">
      <c r="A150" s="62"/>
      <c r="B150" s="46">
        <f t="shared" si="22"/>
        <v>17</v>
      </c>
      <c r="C150" s="42" t="s">
        <v>67</v>
      </c>
      <c r="D150" s="64">
        <v>39932</v>
      </c>
      <c r="E150" s="44"/>
      <c r="F150" s="47"/>
      <c r="G150" s="44">
        <v>161192336.48</v>
      </c>
      <c r="H150" s="45">
        <f>O129</f>
        <v>1.1495608415242913</v>
      </c>
      <c r="I150" s="44">
        <f t="shared" si="17"/>
        <v>185300397.97121552</v>
      </c>
      <c r="J150" s="41" t="s">
        <v>101</v>
      </c>
      <c r="K150" s="21"/>
      <c r="L150" s="84">
        <v>40544</v>
      </c>
      <c r="M150" s="85">
        <v>0.79</v>
      </c>
      <c r="N150" s="81">
        <f aca="true" t="shared" si="25" ref="N150:N159">M150/100+1</f>
        <v>1.0079</v>
      </c>
      <c r="O150" s="50">
        <f aca="true" t="shared" si="26" ref="O150:O158">O151*N150</f>
        <v>1.0414852370024372</v>
      </c>
      <c r="P150" s="26"/>
      <c r="Q150" s="26"/>
      <c r="R150" s="26"/>
      <c r="S150" s="26"/>
      <c r="T150" s="26"/>
      <c r="U150"/>
      <c r="V150"/>
    </row>
    <row r="151" spans="1:22" s="27" customFormat="1" ht="21.75" customHeight="1">
      <c r="A151" s="62"/>
      <c r="B151" s="46">
        <f t="shared" si="22"/>
        <v>18</v>
      </c>
      <c r="C151" s="42" t="s">
        <v>68</v>
      </c>
      <c r="D151" s="64">
        <v>39938</v>
      </c>
      <c r="E151" s="69">
        <v>30000000</v>
      </c>
      <c r="F151" s="41">
        <v>1.71</v>
      </c>
      <c r="G151" s="44">
        <f>E151*F151</f>
        <v>51300000</v>
      </c>
      <c r="H151" s="45">
        <f>O130</f>
        <v>1.1512877731840674</v>
      </c>
      <c r="I151" s="44">
        <f t="shared" si="17"/>
        <v>59061062.76434266</v>
      </c>
      <c r="J151" s="41" t="s">
        <v>195</v>
      </c>
      <c r="K151" s="21"/>
      <c r="L151" s="84">
        <v>40575</v>
      </c>
      <c r="M151" s="85">
        <v>1</v>
      </c>
      <c r="N151" s="81">
        <f t="shared" si="25"/>
        <v>1.01</v>
      </c>
      <c r="O151" s="50">
        <f t="shared" si="26"/>
        <v>1.033321993255717</v>
      </c>
      <c r="P151" s="26"/>
      <c r="Q151" s="26"/>
      <c r="R151" s="26"/>
      <c r="S151" s="26"/>
      <c r="T151" s="26"/>
      <c r="U151"/>
      <c r="V151"/>
    </row>
    <row r="152" spans="1:22" s="27" customFormat="1" ht="21.75" customHeight="1">
      <c r="A152" s="62"/>
      <c r="B152" s="46">
        <f t="shared" si="22"/>
        <v>19</v>
      </c>
      <c r="C152" s="42" t="s">
        <v>69</v>
      </c>
      <c r="D152" s="64">
        <v>39939</v>
      </c>
      <c r="E152" s="69">
        <v>1081400</v>
      </c>
      <c r="F152" s="41">
        <v>1.71</v>
      </c>
      <c r="G152" s="44">
        <f>E152*F152</f>
        <v>1849194</v>
      </c>
      <c r="H152" s="45">
        <f>O130</f>
        <v>1.1512877731840674</v>
      </c>
      <c r="I152" s="44">
        <f t="shared" si="17"/>
        <v>2128954.4424453382</v>
      </c>
      <c r="J152" s="41" t="s">
        <v>195</v>
      </c>
      <c r="K152" s="21"/>
      <c r="L152" s="84">
        <v>40603</v>
      </c>
      <c r="M152" s="85">
        <v>0.62</v>
      </c>
      <c r="N152" s="81">
        <f t="shared" si="25"/>
        <v>1.0062</v>
      </c>
      <c r="O152" s="50">
        <f t="shared" si="26"/>
        <v>1.023091082431403</v>
      </c>
      <c r="P152" s="26"/>
      <c r="Q152" s="26"/>
      <c r="R152" s="26"/>
      <c r="S152" s="26"/>
      <c r="T152" s="26"/>
      <c r="U152"/>
      <c r="V152"/>
    </row>
    <row r="153" spans="1:22" s="27" customFormat="1" ht="21.75" customHeight="1">
      <c r="A153" s="62"/>
      <c r="B153" s="46">
        <f t="shared" si="22"/>
        <v>20</v>
      </c>
      <c r="C153" s="42" t="s">
        <v>70</v>
      </c>
      <c r="D153" s="64">
        <v>39939</v>
      </c>
      <c r="E153" s="63"/>
      <c r="F153" s="70"/>
      <c r="G153" s="44" t="s">
        <v>104</v>
      </c>
      <c r="H153" s="45">
        <f>O130</f>
        <v>1.1512877731840674</v>
      </c>
      <c r="I153" s="63">
        <v>0</v>
      </c>
      <c r="J153" s="71" t="s">
        <v>533</v>
      </c>
      <c r="K153" s="21"/>
      <c r="L153" s="84">
        <v>40634</v>
      </c>
      <c r="M153" s="85">
        <v>0.45</v>
      </c>
      <c r="N153" s="81">
        <f t="shared" si="25"/>
        <v>1.0045</v>
      </c>
      <c r="O153" s="50">
        <f t="shared" si="26"/>
        <v>1.0167870030127242</v>
      </c>
      <c r="P153" s="26"/>
      <c r="Q153" s="26"/>
      <c r="R153" s="26"/>
      <c r="S153" s="26"/>
      <c r="T153" s="26"/>
      <c r="U153"/>
      <c r="V153"/>
    </row>
    <row r="154" spans="1:22" s="27" customFormat="1" ht="21.75" customHeight="1">
      <c r="A154" s="62"/>
      <c r="B154" s="46">
        <f t="shared" si="22"/>
        <v>21</v>
      </c>
      <c r="C154" s="42" t="s">
        <v>71</v>
      </c>
      <c r="D154" s="64">
        <v>39962</v>
      </c>
      <c r="E154" s="69">
        <v>4300000</v>
      </c>
      <c r="F154" s="41">
        <v>1.71</v>
      </c>
      <c r="G154" s="44">
        <f>E154*F154</f>
        <v>7353000</v>
      </c>
      <c r="H154" s="45">
        <f>O130</f>
        <v>1.1512877731840674</v>
      </c>
      <c r="I154" s="44">
        <f t="shared" si="17"/>
        <v>8465418.996222448</v>
      </c>
      <c r="J154" s="41" t="s">
        <v>195</v>
      </c>
      <c r="K154" s="21"/>
      <c r="L154" s="84">
        <v>40664</v>
      </c>
      <c r="M154" s="85">
        <v>0.43</v>
      </c>
      <c r="N154" s="81">
        <f t="shared" si="25"/>
        <v>1.0043</v>
      </c>
      <c r="O154" s="50">
        <f t="shared" si="26"/>
        <v>1.0122319591963407</v>
      </c>
      <c r="P154" s="26"/>
      <c r="Q154" s="26"/>
      <c r="R154" s="26"/>
      <c r="S154" s="26"/>
      <c r="T154" s="26"/>
      <c r="U154"/>
      <c r="V154"/>
    </row>
    <row r="155" spans="1:22" s="27" customFormat="1" ht="21.75" customHeight="1">
      <c r="A155" s="62"/>
      <c r="B155" s="46">
        <f t="shared" si="22"/>
        <v>22</v>
      </c>
      <c r="C155" s="42" t="s">
        <v>72</v>
      </c>
      <c r="D155" s="64">
        <v>39979</v>
      </c>
      <c r="E155" s="69">
        <v>889206.42</v>
      </c>
      <c r="F155" s="41">
        <v>1.71</v>
      </c>
      <c r="G155" s="44">
        <f>E155*F155</f>
        <v>1520542.9782</v>
      </c>
      <c r="H155" s="45">
        <f>O131</f>
        <v>1.1520942391514735</v>
      </c>
      <c r="I155" s="44">
        <f t="shared" si="17"/>
        <v>1751808.8055664445</v>
      </c>
      <c r="J155" s="41" t="s">
        <v>204</v>
      </c>
      <c r="K155" s="21"/>
      <c r="L155" s="84">
        <v>40695</v>
      </c>
      <c r="M155" s="85">
        <v>-0.18</v>
      </c>
      <c r="N155" s="81">
        <f t="shared" si="25"/>
        <v>0.9982</v>
      </c>
      <c r="O155" s="50">
        <f t="shared" si="26"/>
        <v>1.0078979978057758</v>
      </c>
      <c r="P155" s="26"/>
      <c r="Q155" s="26"/>
      <c r="R155" s="26"/>
      <c r="S155" s="26"/>
      <c r="T155" s="26"/>
      <c r="U155"/>
      <c r="V155"/>
    </row>
    <row r="156" spans="1:22" s="27" customFormat="1" ht="21.75" customHeight="1">
      <c r="A156" s="62"/>
      <c r="B156" s="46">
        <f t="shared" si="22"/>
        <v>23</v>
      </c>
      <c r="C156" s="42" t="s">
        <v>73</v>
      </c>
      <c r="D156" s="64">
        <v>39980</v>
      </c>
      <c r="E156" s="44"/>
      <c r="F156" s="47"/>
      <c r="G156" s="44">
        <v>10000000</v>
      </c>
      <c r="H156" s="45">
        <f>O131</f>
        <v>1.1520942391514735</v>
      </c>
      <c r="I156" s="44">
        <f t="shared" si="17"/>
        <v>11520942.391514735</v>
      </c>
      <c r="J156" s="41" t="s">
        <v>101</v>
      </c>
      <c r="K156" s="21"/>
      <c r="L156" s="84">
        <v>40725</v>
      </c>
      <c r="M156" s="85">
        <v>-0.12</v>
      </c>
      <c r="N156" s="81">
        <f t="shared" si="25"/>
        <v>0.9988</v>
      </c>
      <c r="O156" s="50">
        <f t="shared" si="26"/>
        <v>1.00971548568</v>
      </c>
      <c r="P156" s="26"/>
      <c r="Q156" s="26"/>
      <c r="R156" s="26"/>
      <c r="S156" s="26"/>
      <c r="T156" s="26"/>
      <c r="U156"/>
      <c r="V156"/>
    </row>
    <row r="157" spans="1:22" s="27" customFormat="1" ht="21.75" customHeight="1">
      <c r="A157" s="62"/>
      <c r="B157" s="46">
        <f t="shared" si="22"/>
        <v>24</v>
      </c>
      <c r="C157" s="42" t="s">
        <v>74</v>
      </c>
      <c r="D157" s="64">
        <v>39982</v>
      </c>
      <c r="E157" s="44"/>
      <c r="F157" s="47"/>
      <c r="G157" s="44">
        <v>5000000</v>
      </c>
      <c r="H157" s="45">
        <f>O131</f>
        <v>1.1520942391514735</v>
      </c>
      <c r="I157" s="44">
        <f t="shared" si="17"/>
        <v>5760471.195757368</v>
      </c>
      <c r="J157" s="41" t="s">
        <v>195</v>
      </c>
      <c r="K157" s="21"/>
      <c r="L157" s="84">
        <v>40756</v>
      </c>
      <c r="M157" s="85">
        <v>0.44</v>
      </c>
      <c r="N157" s="81">
        <f t="shared" si="25"/>
        <v>1.0044</v>
      </c>
      <c r="O157" s="50">
        <f t="shared" si="26"/>
        <v>1.0109286</v>
      </c>
      <c r="P157" s="26"/>
      <c r="Q157" s="26"/>
      <c r="R157" s="26"/>
      <c r="S157" s="26"/>
      <c r="T157" s="26"/>
      <c r="U157"/>
      <c r="V157"/>
    </row>
    <row r="158" spans="1:22" s="27" customFormat="1" ht="21.75" customHeight="1">
      <c r="A158" s="62"/>
      <c r="B158" s="46">
        <f t="shared" si="22"/>
        <v>25</v>
      </c>
      <c r="C158" s="42" t="s">
        <v>75</v>
      </c>
      <c r="D158" s="64">
        <v>39988</v>
      </c>
      <c r="E158" s="44"/>
      <c r="F158" s="47"/>
      <c r="G158" s="44">
        <v>25000000</v>
      </c>
      <c r="H158" s="45">
        <f>O131</f>
        <v>1.1520942391514735</v>
      </c>
      <c r="I158" s="44">
        <f aca="true" t="shared" si="27" ref="I158:I217">H158*G158</f>
        <v>28802355.978786837</v>
      </c>
      <c r="J158" s="41" t="s">
        <v>195</v>
      </c>
      <c r="K158" s="21"/>
      <c r="L158" s="84">
        <v>40787</v>
      </c>
      <c r="M158" s="85">
        <v>0.65</v>
      </c>
      <c r="N158" s="81">
        <f t="shared" si="25"/>
        <v>1.0065</v>
      </c>
      <c r="O158" s="50">
        <f t="shared" si="26"/>
        <v>1.0065</v>
      </c>
      <c r="P158" s="26"/>
      <c r="Q158" s="26"/>
      <c r="R158" s="26"/>
      <c r="S158" s="26"/>
      <c r="T158" s="26"/>
      <c r="U158"/>
      <c r="V158"/>
    </row>
    <row r="159" spans="1:22" s="27" customFormat="1" ht="21.75" customHeight="1">
      <c r="A159" s="62"/>
      <c r="B159" s="46">
        <f t="shared" si="22"/>
        <v>26</v>
      </c>
      <c r="C159" s="42" t="s">
        <v>76</v>
      </c>
      <c r="D159" s="64">
        <v>39990</v>
      </c>
      <c r="E159" s="44"/>
      <c r="F159" s="47"/>
      <c r="G159" s="44">
        <v>2703669.84</v>
      </c>
      <c r="H159" s="45">
        <f>O131</f>
        <v>1.1520942391514735</v>
      </c>
      <c r="I159" s="44">
        <f t="shared" si="27"/>
        <v>3114882.4472315856</v>
      </c>
      <c r="J159" s="58" t="s">
        <v>183</v>
      </c>
      <c r="K159" s="21"/>
      <c r="L159" s="84">
        <v>40817</v>
      </c>
      <c r="M159" s="85">
        <v>0</v>
      </c>
      <c r="N159" s="81">
        <f t="shared" si="25"/>
        <v>1</v>
      </c>
      <c r="O159" s="50">
        <f>N159</f>
        <v>1</v>
      </c>
      <c r="P159" s="26"/>
      <c r="Q159" s="26"/>
      <c r="R159" s="26"/>
      <c r="S159" s="26"/>
      <c r="T159" s="26"/>
      <c r="U159"/>
      <c r="V159"/>
    </row>
    <row r="160" spans="1:22" s="27" customFormat="1" ht="21.75" customHeight="1">
      <c r="A160" s="62"/>
      <c r="B160" s="46">
        <f t="shared" si="22"/>
        <v>27</v>
      </c>
      <c r="C160" s="42" t="s">
        <v>77</v>
      </c>
      <c r="D160" s="64">
        <v>39993</v>
      </c>
      <c r="E160" s="44"/>
      <c r="F160" s="47"/>
      <c r="G160" s="44">
        <v>985000</v>
      </c>
      <c r="H160" s="45">
        <f>O131</f>
        <v>1.1520942391514735</v>
      </c>
      <c r="I160" s="44">
        <f t="shared" si="27"/>
        <v>1134812.8255642015</v>
      </c>
      <c r="J160" s="41" t="s">
        <v>195</v>
      </c>
      <c r="K160" s="21"/>
      <c r="L160" s="35"/>
      <c r="M160" s="35"/>
      <c r="N160" s="25"/>
      <c r="O160" s="25"/>
      <c r="P160" s="26"/>
      <c r="Q160" s="26"/>
      <c r="R160" s="26"/>
      <c r="S160" s="26"/>
      <c r="T160" s="26"/>
      <c r="U160"/>
      <c r="V160"/>
    </row>
    <row r="161" spans="1:22" s="27" customFormat="1" ht="21.75" customHeight="1">
      <c r="A161" s="62"/>
      <c r="B161" s="46">
        <f t="shared" si="22"/>
        <v>28</v>
      </c>
      <c r="C161" s="42" t="s">
        <v>78</v>
      </c>
      <c r="D161" s="64">
        <v>39996</v>
      </c>
      <c r="E161" s="44"/>
      <c r="F161" s="47"/>
      <c r="G161" s="44">
        <v>5000000</v>
      </c>
      <c r="H161" s="45">
        <f>O132</f>
        <v>1.1532474866381115</v>
      </c>
      <c r="I161" s="44">
        <f t="shared" si="27"/>
        <v>5766237.433190557</v>
      </c>
      <c r="J161" s="58" t="s">
        <v>195</v>
      </c>
      <c r="K161" s="21"/>
      <c r="L161" s="35"/>
      <c r="M161" s="35"/>
      <c r="N161" s="25"/>
      <c r="O161" s="25"/>
      <c r="P161" s="26"/>
      <c r="Q161" s="26"/>
      <c r="R161" s="26"/>
      <c r="S161" s="26"/>
      <c r="T161" s="26"/>
      <c r="U161"/>
      <c r="V161"/>
    </row>
    <row r="162" spans="1:22" s="27" customFormat="1" ht="21.75" customHeight="1">
      <c r="A162" s="62"/>
      <c r="B162" s="46">
        <f t="shared" si="22"/>
        <v>29</v>
      </c>
      <c r="C162" s="42" t="s">
        <v>79</v>
      </c>
      <c r="D162" s="64">
        <v>40011</v>
      </c>
      <c r="E162" s="72"/>
      <c r="F162" s="47"/>
      <c r="G162" s="72">
        <v>1676630.4</v>
      </c>
      <c r="H162" s="45">
        <f>O132</f>
        <v>1.1532474866381115</v>
      </c>
      <c r="I162" s="44">
        <f t="shared" si="27"/>
        <v>1933569.7948210514</v>
      </c>
      <c r="J162" s="41" t="s">
        <v>204</v>
      </c>
      <c r="K162" s="21"/>
      <c r="L162" s="35"/>
      <c r="M162" s="35"/>
      <c r="N162" s="25"/>
      <c r="O162" s="25"/>
      <c r="P162" s="26"/>
      <c r="Q162" s="26"/>
      <c r="R162" s="26"/>
      <c r="S162" s="26"/>
      <c r="T162" s="26"/>
      <c r="U162"/>
      <c r="V162"/>
    </row>
    <row r="163" spans="1:22" s="27" customFormat="1" ht="21.75" customHeight="1">
      <c r="A163" s="62"/>
      <c r="B163" s="46">
        <f t="shared" si="22"/>
        <v>30</v>
      </c>
      <c r="C163" s="42" t="s">
        <v>80</v>
      </c>
      <c r="D163" s="64">
        <v>40018</v>
      </c>
      <c r="E163" s="72"/>
      <c r="F163" s="47"/>
      <c r="G163" s="72">
        <v>7998032.66</v>
      </c>
      <c r="H163" s="45">
        <f>O132</f>
        <v>1.1532474866381115</v>
      </c>
      <c r="I163" s="44">
        <f t="shared" si="27"/>
        <v>9223711.06319453</v>
      </c>
      <c r="J163" s="41" t="s">
        <v>101</v>
      </c>
      <c r="K163" s="21"/>
      <c r="L163" s="35"/>
      <c r="M163" s="35"/>
      <c r="N163" s="25"/>
      <c r="O163" s="25"/>
      <c r="P163" s="26"/>
      <c r="Q163" s="26"/>
      <c r="R163" s="26"/>
      <c r="S163" s="26"/>
      <c r="T163" s="26"/>
      <c r="U163"/>
      <c r="V163"/>
    </row>
    <row r="164" spans="1:22" s="27" customFormat="1" ht="21.75" customHeight="1">
      <c r="A164" s="62"/>
      <c r="B164" s="46">
        <f t="shared" si="22"/>
        <v>31</v>
      </c>
      <c r="C164" s="42" t="s">
        <v>81</v>
      </c>
      <c r="D164" s="64">
        <v>40030</v>
      </c>
      <c r="E164" s="72"/>
      <c r="F164" s="47"/>
      <c r="G164" s="72">
        <v>11520000</v>
      </c>
      <c r="H164" s="45">
        <f>O133</f>
        <v>1.1582278664639063</v>
      </c>
      <c r="I164" s="44">
        <f t="shared" si="27"/>
        <v>13342785.0216642</v>
      </c>
      <c r="J164" s="41" t="s">
        <v>195</v>
      </c>
      <c r="K164" s="21"/>
      <c r="L164" s="35"/>
      <c r="M164" s="35"/>
      <c r="N164" s="25"/>
      <c r="O164" s="25"/>
      <c r="P164" s="26"/>
      <c r="Q164" s="26"/>
      <c r="R164" s="26"/>
      <c r="S164" s="26"/>
      <c r="T164" s="26"/>
      <c r="U164"/>
      <c r="V164"/>
    </row>
    <row r="165" spans="1:22" s="27" customFormat="1" ht="21.75" customHeight="1">
      <c r="A165" s="62"/>
      <c r="B165" s="46">
        <f t="shared" si="22"/>
        <v>32</v>
      </c>
      <c r="C165" s="42" t="s">
        <v>82</v>
      </c>
      <c r="D165" s="64">
        <v>40032</v>
      </c>
      <c r="E165" s="72"/>
      <c r="F165" s="47"/>
      <c r="G165" s="72">
        <v>28337.94</v>
      </c>
      <c r="H165" s="45">
        <f>O133</f>
        <v>1.1582278664639063</v>
      </c>
      <c r="I165" s="44">
        <f t="shared" si="27"/>
        <v>32821.791786182184</v>
      </c>
      <c r="J165" s="41" t="s">
        <v>195</v>
      </c>
      <c r="K165" s="21"/>
      <c r="L165" s="35"/>
      <c r="M165" s="35"/>
      <c r="N165" s="25"/>
      <c r="O165" s="25"/>
      <c r="P165" s="26"/>
      <c r="Q165" s="26"/>
      <c r="R165" s="26"/>
      <c r="S165" s="26"/>
      <c r="T165" s="26"/>
      <c r="U165"/>
      <c r="V165"/>
    </row>
    <row r="166" spans="1:22" s="27" customFormat="1" ht="21.75" customHeight="1">
      <c r="A166" s="62"/>
      <c r="B166" s="46">
        <f t="shared" si="22"/>
        <v>33</v>
      </c>
      <c r="C166" s="42" t="s">
        <v>83</v>
      </c>
      <c r="D166" s="64">
        <v>40037</v>
      </c>
      <c r="E166" s="72"/>
      <c r="F166" s="47"/>
      <c r="G166" s="72">
        <v>10000000</v>
      </c>
      <c r="H166" s="45">
        <f>O133</f>
        <v>1.1582278664639063</v>
      </c>
      <c r="I166" s="44">
        <f t="shared" si="27"/>
        <v>11582278.664639063</v>
      </c>
      <c r="J166" s="41" t="s">
        <v>101</v>
      </c>
      <c r="K166" s="21"/>
      <c r="L166" s="35"/>
      <c r="M166" s="35"/>
      <c r="N166" s="25"/>
      <c r="O166" s="25"/>
      <c r="P166" s="26"/>
      <c r="Q166" s="26"/>
      <c r="R166" s="26"/>
      <c r="S166" s="26"/>
      <c r="T166" s="26"/>
      <c r="U166"/>
      <c r="V166"/>
    </row>
    <row r="167" spans="1:22" s="27" customFormat="1" ht="21.75" customHeight="1">
      <c r="A167" s="62"/>
      <c r="B167" s="46">
        <f t="shared" si="22"/>
        <v>34</v>
      </c>
      <c r="C167" s="42" t="s">
        <v>84</v>
      </c>
      <c r="D167" s="64">
        <v>40037</v>
      </c>
      <c r="E167" s="72"/>
      <c r="F167" s="47"/>
      <c r="G167" s="72">
        <v>7538743.75</v>
      </c>
      <c r="H167" s="45">
        <f>O133</f>
        <v>1.1582278664639063</v>
      </c>
      <c r="I167" s="44">
        <f t="shared" si="27"/>
        <v>8731583.089380609</v>
      </c>
      <c r="J167" s="41" t="s">
        <v>204</v>
      </c>
      <c r="K167" s="21"/>
      <c r="L167" s="35"/>
      <c r="M167" s="35"/>
      <c r="N167" s="25"/>
      <c r="O167" s="25"/>
      <c r="P167" s="26"/>
      <c r="Q167" s="26"/>
      <c r="R167" s="26"/>
      <c r="S167" s="26"/>
      <c r="T167" s="26"/>
      <c r="U167"/>
      <c r="V167"/>
    </row>
    <row r="168" spans="1:22" s="27" customFormat="1" ht="21.75" customHeight="1">
      <c r="A168" s="62"/>
      <c r="B168" s="46">
        <f t="shared" si="22"/>
        <v>35</v>
      </c>
      <c r="C168" s="42" t="s">
        <v>85</v>
      </c>
      <c r="D168" s="64">
        <v>40056</v>
      </c>
      <c r="E168" s="72"/>
      <c r="F168" s="47"/>
      <c r="G168" s="72">
        <v>250000</v>
      </c>
      <c r="H168" s="45">
        <f>O133</f>
        <v>1.1582278664639063</v>
      </c>
      <c r="I168" s="44">
        <f t="shared" si="27"/>
        <v>289556.9666159766</v>
      </c>
      <c r="J168" s="58" t="s">
        <v>195</v>
      </c>
      <c r="K168" s="21"/>
      <c r="L168" s="35"/>
      <c r="M168" s="35"/>
      <c r="N168" s="25"/>
      <c r="O168" s="25"/>
      <c r="P168" s="26"/>
      <c r="Q168" s="26"/>
      <c r="R168" s="26"/>
      <c r="S168" s="26"/>
      <c r="T168" s="26"/>
      <c r="U168"/>
      <c r="V168"/>
    </row>
    <row r="169" spans="1:22" s="27" customFormat="1" ht="21.75" customHeight="1">
      <c r="A169" s="62"/>
      <c r="B169" s="46">
        <f t="shared" si="22"/>
        <v>36</v>
      </c>
      <c r="C169" s="42" t="s">
        <v>86</v>
      </c>
      <c r="D169" s="64">
        <v>40058</v>
      </c>
      <c r="E169" s="72"/>
      <c r="F169" s="47"/>
      <c r="G169" s="72">
        <v>1414549.2</v>
      </c>
      <c r="H169" s="45">
        <f>O134</f>
        <v>1.1624125516498458</v>
      </c>
      <c r="I169" s="44">
        <f t="shared" si="27"/>
        <v>1644289.7450062481</v>
      </c>
      <c r="J169" s="58" t="s">
        <v>195</v>
      </c>
      <c r="K169" s="21"/>
      <c r="L169" s="35"/>
      <c r="M169" s="35"/>
      <c r="N169" s="25"/>
      <c r="O169" s="25"/>
      <c r="P169" s="26"/>
      <c r="Q169" s="26"/>
      <c r="R169" s="26"/>
      <c r="S169" s="26"/>
      <c r="T169" s="26"/>
      <c r="U169"/>
      <c r="V169"/>
    </row>
    <row r="170" spans="1:22" s="27" customFormat="1" ht="21.75" customHeight="1">
      <c r="A170" s="62"/>
      <c r="B170" s="46">
        <f t="shared" si="22"/>
        <v>37</v>
      </c>
      <c r="C170" s="42" t="s">
        <v>88</v>
      </c>
      <c r="D170" s="64">
        <v>40067</v>
      </c>
      <c r="E170" s="72"/>
      <c r="F170" s="47"/>
      <c r="G170" s="72">
        <v>500000000</v>
      </c>
      <c r="H170" s="45">
        <f>O134</f>
        <v>1.1624125516498458</v>
      </c>
      <c r="I170" s="44">
        <f t="shared" si="27"/>
        <v>581206275.8249229</v>
      </c>
      <c r="J170" s="41" t="s">
        <v>101</v>
      </c>
      <c r="K170" s="21"/>
      <c r="L170" s="35"/>
      <c r="M170" s="35"/>
      <c r="N170" s="25"/>
      <c r="O170" s="25"/>
      <c r="P170" s="26"/>
      <c r="Q170" s="26"/>
      <c r="R170" s="26"/>
      <c r="S170" s="26"/>
      <c r="T170" s="26"/>
      <c r="U170"/>
      <c r="V170"/>
    </row>
    <row r="171" spans="1:22" s="27" customFormat="1" ht="21.75" customHeight="1">
      <c r="A171" s="62"/>
      <c r="B171" s="46">
        <f t="shared" si="22"/>
        <v>38</v>
      </c>
      <c r="C171" s="42" t="s">
        <v>87</v>
      </c>
      <c r="D171" s="64">
        <v>40072</v>
      </c>
      <c r="E171" s="72"/>
      <c r="F171" s="47"/>
      <c r="G171" s="72">
        <v>3295315.3</v>
      </c>
      <c r="H171" s="45">
        <f>O134</f>
        <v>1.1624125516498458</v>
      </c>
      <c r="I171" s="44">
        <f t="shared" si="27"/>
        <v>3830515.866363777</v>
      </c>
      <c r="J171" s="41" t="s">
        <v>101</v>
      </c>
      <c r="K171" s="21"/>
      <c r="L171" s="35"/>
      <c r="M171" s="35"/>
      <c r="N171" s="25"/>
      <c r="O171" s="25"/>
      <c r="P171" s="26"/>
      <c r="Q171" s="26"/>
      <c r="R171" s="26"/>
      <c r="S171" s="26"/>
      <c r="T171" s="26"/>
      <c r="U171"/>
      <c r="V171"/>
    </row>
    <row r="172" spans="1:22" s="27" customFormat="1" ht="21.75" customHeight="1">
      <c r="A172" s="62"/>
      <c r="B172" s="46">
        <f t="shared" si="22"/>
        <v>39</v>
      </c>
      <c r="C172" s="42" t="s">
        <v>89</v>
      </c>
      <c r="D172" s="64">
        <v>40074</v>
      </c>
      <c r="E172" s="72"/>
      <c r="F172" s="47"/>
      <c r="G172" s="72">
        <v>192000</v>
      </c>
      <c r="H172" s="45">
        <f>O134</f>
        <v>1.1624125516498458</v>
      </c>
      <c r="I172" s="44">
        <f t="shared" si="27"/>
        <v>223183.2099167704</v>
      </c>
      <c r="J172" s="58" t="s">
        <v>195</v>
      </c>
      <c r="K172" s="21"/>
      <c r="L172" s="35"/>
      <c r="M172" s="35"/>
      <c r="N172" s="25"/>
      <c r="O172" s="25"/>
      <c r="P172" s="26"/>
      <c r="Q172" s="26"/>
      <c r="R172" s="26"/>
      <c r="S172" s="26"/>
      <c r="T172" s="26"/>
      <c r="U172"/>
      <c r="V172"/>
    </row>
    <row r="173" spans="1:22" s="27" customFormat="1" ht="21.75" customHeight="1">
      <c r="A173" s="62"/>
      <c r="B173" s="46">
        <f t="shared" si="22"/>
        <v>40</v>
      </c>
      <c r="C173" s="42" t="s">
        <v>90</v>
      </c>
      <c r="D173" s="64">
        <v>40078</v>
      </c>
      <c r="E173" s="72"/>
      <c r="F173" s="47"/>
      <c r="G173" s="72">
        <v>5095336.64</v>
      </c>
      <c r="H173" s="45">
        <f>O134</f>
        <v>1.1624125516498458</v>
      </c>
      <c r="I173" s="44">
        <f t="shared" si="27"/>
        <v>5922883.265217352</v>
      </c>
      <c r="J173" s="58" t="s">
        <v>183</v>
      </c>
      <c r="K173" s="21"/>
      <c r="L173" s="35"/>
      <c r="M173" s="35"/>
      <c r="N173" s="25"/>
      <c r="O173" s="25"/>
      <c r="P173" s="26"/>
      <c r="Q173" s="26"/>
      <c r="R173" s="26"/>
      <c r="S173" s="26"/>
      <c r="T173" s="26"/>
      <c r="U173"/>
      <c r="V173"/>
    </row>
    <row r="174" spans="1:22" s="27" customFormat="1" ht="21.75" customHeight="1">
      <c r="A174" s="62"/>
      <c r="B174" s="46">
        <f t="shared" si="22"/>
        <v>41</v>
      </c>
      <c r="C174" s="42" t="s">
        <v>91</v>
      </c>
      <c r="D174" s="64">
        <v>40088</v>
      </c>
      <c r="E174" s="72"/>
      <c r="F174" s="47"/>
      <c r="G174" s="72">
        <v>117003844.07</v>
      </c>
      <c r="H174" s="45">
        <f>O135</f>
        <v>1.157550838129701</v>
      </c>
      <c r="I174" s="44">
        <f t="shared" si="27"/>
        <v>135437897.76762533</v>
      </c>
      <c r="J174" s="58" t="s">
        <v>195</v>
      </c>
      <c r="K174" s="21"/>
      <c r="L174" s="35"/>
      <c r="M174" s="35"/>
      <c r="N174" s="25"/>
      <c r="O174" s="25"/>
      <c r="P174" s="26"/>
      <c r="Q174" s="26"/>
      <c r="R174" s="26"/>
      <c r="S174" s="26"/>
      <c r="T174" s="26"/>
      <c r="U174"/>
      <c r="V174"/>
    </row>
    <row r="175" spans="1:22" s="27" customFormat="1" ht="21.75" customHeight="1">
      <c r="A175" s="62"/>
      <c r="B175" s="46">
        <f t="shared" si="22"/>
        <v>42</v>
      </c>
      <c r="C175" s="42" t="s">
        <v>92</v>
      </c>
      <c r="D175" s="64">
        <v>40101</v>
      </c>
      <c r="E175" s="72"/>
      <c r="F175" s="47"/>
      <c r="G175" s="72">
        <v>185000</v>
      </c>
      <c r="H175" s="45">
        <f>O135</f>
        <v>1.157550838129701</v>
      </c>
      <c r="I175" s="44">
        <f t="shared" si="27"/>
        <v>214146.9050539947</v>
      </c>
      <c r="J175" s="58" t="s">
        <v>183</v>
      </c>
      <c r="K175" s="21"/>
      <c r="L175" s="35"/>
      <c r="M175" s="35"/>
      <c r="N175" s="25"/>
      <c r="O175" s="25"/>
      <c r="P175" s="26"/>
      <c r="Q175" s="26"/>
      <c r="R175" s="26"/>
      <c r="S175" s="26"/>
      <c r="T175" s="26"/>
      <c r="U175"/>
      <c r="V175"/>
    </row>
    <row r="176" spans="1:22" s="27" customFormat="1" ht="21.75" customHeight="1">
      <c r="A176" s="62"/>
      <c r="B176" s="46">
        <f t="shared" si="22"/>
        <v>43</v>
      </c>
      <c r="C176" s="42" t="s">
        <v>93</v>
      </c>
      <c r="D176" s="64">
        <v>40120</v>
      </c>
      <c r="E176" s="74"/>
      <c r="F176" s="47"/>
      <c r="G176" s="74">
        <v>8000000</v>
      </c>
      <c r="H176" s="45">
        <f>O136</f>
        <v>1.1569723519537243</v>
      </c>
      <c r="I176" s="44">
        <f t="shared" si="27"/>
        <v>9255778.815629793</v>
      </c>
      <c r="J176" s="58" t="s">
        <v>101</v>
      </c>
      <c r="K176" s="21"/>
      <c r="L176" s="35"/>
      <c r="M176" s="35"/>
      <c r="N176" s="25"/>
      <c r="O176" s="25"/>
      <c r="P176" s="26"/>
      <c r="Q176" s="26"/>
      <c r="R176" s="26"/>
      <c r="S176" s="26"/>
      <c r="T176" s="26"/>
      <c r="U176"/>
      <c r="V176"/>
    </row>
    <row r="177" spans="1:22" s="27" customFormat="1" ht="21.75" customHeight="1">
      <c r="A177" s="62"/>
      <c r="B177" s="46">
        <f t="shared" si="22"/>
        <v>44</v>
      </c>
      <c r="C177" s="42" t="s">
        <v>94</v>
      </c>
      <c r="D177" s="64">
        <v>40126</v>
      </c>
      <c r="E177" s="74"/>
      <c r="F177" s="47"/>
      <c r="G177" s="74">
        <v>40000000</v>
      </c>
      <c r="H177" s="45">
        <f>O136</f>
        <v>1.1569723519537243</v>
      </c>
      <c r="I177" s="44">
        <f t="shared" si="27"/>
        <v>46278894.07814897</v>
      </c>
      <c r="J177" s="58" t="s">
        <v>183</v>
      </c>
      <c r="K177" s="21"/>
      <c r="L177" s="35"/>
      <c r="M177" s="35"/>
      <c r="N177" s="25"/>
      <c r="O177" s="25"/>
      <c r="P177" s="26"/>
      <c r="Q177" s="26"/>
      <c r="R177" s="26"/>
      <c r="S177" s="26"/>
      <c r="T177" s="26"/>
      <c r="U177"/>
      <c r="V177"/>
    </row>
    <row r="178" spans="1:22" s="27" customFormat="1" ht="21.75" customHeight="1">
      <c r="A178" s="62"/>
      <c r="B178" s="46">
        <f t="shared" si="22"/>
        <v>45</v>
      </c>
      <c r="C178" s="42" t="s">
        <v>95</v>
      </c>
      <c r="D178" s="64">
        <v>40134</v>
      </c>
      <c r="E178" s="74"/>
      <c r="F178" s="47"/>
      <c r="G178" s="74">
        <v>23100000</v>
      </c>
      <c r="H178" s="45">
        <f>O136</f>
        <v>1.1569723519537243</v>
      </c>
      <c r="I178" s="44">
        <f t="shared" si="27"/>
        <v>26726061.33013103</v>
      </c>
      <c r="J178" s="58" t="s">
        <v>101</v>
      </c>
      <c r="K178" s="21"/>
      <c r="L178" s="35"/>
      <c r="M178" s="35"/>
      <c r="N178" s="25"/>
      <c r="O178" s="25"/>
      <c r="P178" s="26"/>
      <c r="Q178" s="26"/>
      <c r="R178" s="26"/>
      <c r="S178" s="26"/>
      <c r="T178" s="26"/>
      <c r="U178"/>
      <c r="V178"/>
    </row>
    <row r="179" spans="1:22" s="27" customFormat="1" ht="21.75" customHeight="1">
      <c r="A179" s="62"/>
      <c r="B179" s="46">
        <f t="shared" si="22"/>
        <v>46</v>
      </c>
      <c r="C179" s="42" t="s">
        <v>96</v>
      </c>
      <c r="D179" s="64">
        <v>40142</v>
      </c>
      <c r="E179" s="63"/>
      <c r="F179" s="47"/>
      <c r="G179" s="44" t="s">
        <v>104</v>
      </c>
      <c r="H179" s="45">
        <f>O136</f>
        <v>1.1569723519537243</v>
      </c>
      <c r="I179" s="44">
        <v>0</v>
      </c>
      <c r="J179" s="58" t="s">
        <v>101</v>
      </c>
      <c r="K179" s="21"/>
      <c r="L179" s="35"/>
      <c r="M179" s="35"/>
      <c r="N179" s="25"/>
      <c r="O179" s="25"/>
      <c r="P179" s="26"/>
      <c r="Q179" s="26"/>
      <c r="R179" s="26"/>
      <c r="S179" s="26"/>
      <c r="T179" s="26"/>
      <c r="U179"/>
      <c r="V179"/>
    </row>
    <row r="180" spans="1:22" s="27" customFormat="1" ht="21.75" customHeight="1">
      <c r="A180" s="62"/>
      <c r="B180" s="46">
        <f t="shared" si="22"/>
        <v>47</v>
      </c>
      <c r="C180" s="42" t="s">
        <v>97</v>
      </c>
      <c r="D180" s="64">
        <v>40156</v>
      </c>
      <c r="E180" s="75"/>
      <c r="F180" s="47"/>
      <c r="G180" s="75">
        <v>602960.04</v>
      </c>
      <c r="H180" s="45">
        <f>O137</f>
        <v>1.155816535418306</v>
      </c>
      <c r="I180" s="44">
        <f t="shared" si="27"/>
        <v>696911.1844284832</v>
      </c>
      <c r="J180" s="58" t="s">
        <v>101</v>
      </c>
      <c r="K180" s="21"/>
      <c r="L180" s="35"/>
      <c r="M180" s="35"/>
      <c r="N180" s="25"/>
      <c r="O180" s="25"/>
      <c r="P180" s="26"/>
      <c r="Q180" s="26"/>
      <c r="R180" s="26"/>
      <c r="S180" s="26"/>
      <c r="T180" s="26"/>
      <c r="U180"/>
      <c r="V180"/>
    </row>
    <row r="181" spans="1:22" s="27" customFormat="1" ht="21.75" customHeight="1">
      <c r="A181" s="62"/>
      <c r="B181" s="46">
        <f t="shared" si="22"/>
        <v>48</v>
      </c>
      <c r="C181" s="42" t="s">
        <v>98</v>
      </c>
      <c r="D181" s="64">
        <v>40158</v>
      </c>
      <c r="E181" s="72"/>
      <c r="F181" s="47"/>
      <c r="G181" s="72">
        <v>476773.11</v>
      </c>
      <c r="H181" s="45">
        <f>O137</f>
        <v>1.155816535418306</v>
      </c>
      <c r="I181" s="44">
        <f t="shared" si="27"/>
        <v>551062.244180811</v>
      </c>
      <c r="J181" s="58" t="s">
        <v>204</v>
      </c>
      <c r="K181" s="21"/>
      <c r="L181" s="35"/>
      <c r="M181" s="35"/>
      <c r="N181" s="25"/>
      <c r="O181" s="25"/>
      <c r="P181" s="26"/>
      <c r="Q181" s="26"/>
      <c r="R181" s="26"/>
      <c r="S181" s="26"/>
      <c r="T181" s="26"/>
      <c r="U181"/>
      <c r="V181"/>
    </row>
    <row r="182" spans="1:22" s="27" customFormat="1" ht="21.75" customHeight="1">
      <c r="A182" s="20"/>
      <c r="B182" s="46">
        <f t="shared" si="22"/>
        <v>49</v>
      </c>
      <c r="C182" s="42" t="s">
        <v>99</v>
      </c>
      <c r="D182" s="64">
        <v>40169</v>
      </c>
      <c r="E182" s="72"/>
      <c r="F182" s="47"/>
      <c r="G182" s="72">
        <v>18000000</v>
      </c>
      <c r="H182" s="45">
        <f>O137</f>
        <v>1.155816535418306</v>
      </c>
      <c r="I182" s="44">
        <f t="shared" si="27"/>
        <v>20804697.63752951</v>
      </c>
      <c r="J182" s="58" t="s">
        <v>101</v>
      </c>
      <c r="K182" s="21"/>
      <c r="L182" s="35"/>
      <c r="M182" s="35"/>
      <c r="N182" s="25"/>
      <c r="O182" s="25"/>
      <c r="P182" s="26"/>
      <c r="Q182" s="26"/>
      <c r="R182" s="26"/>
      <c r="S182" s="26"/>
      <c r="T182" s="26"/>
      <c r="U182"/>
      <c r="V182"/>
    </row>
    <row r="183" spans="1:22" s="27" customFormat="1" ht="27" customHeight="1">
      <c r="A183" s="20"/>
      <c r="B183" s="46"/>
      <c r="C183" s="53"/>
      <c r="D183" s="680" t="s">
        <v>207</v>
      </c>
      <c r="E183" s="680"/>
      <c r="F183" s="680"/>
      <c r="G183" s="680"/>
      <c r="H183" s="686"/>
      <c r="I183" s="54">
        <f>SUM(I134:I182)</f>
        <v>1643215918.9401548</v>
      </c>
      <c r="J183" s="102"/>
      <c r="K183" s="21"/>
      <c r="L183" s="35"/>
      <c r="M183" s="35"/>
      <c r="N183" s="25"/>
      <c r="O183" s="25"/>
      <c r="P183" s="26"/>
      <c r="Q183" s="26"/>
      <c r="R183" s="26"/>
      <c r="S183" s="26"/>
      <c r="T183" s="26"/>
      <c r="U183"/>
      <c r="V183"/>
    </row>
    <row r="184" spans="1:22" s="27" customFormat="1" ht="21.75" customHeight="1">
      <c r="A184" s="20"/>
      <c r="B184" s="46">
        <v>1</v>
      </c>
      <c r="C184" s="58" t="s">
        <v>157</v>
      </c>
      <c r="D184" s="76">
        <v>40192</v>
      </c>
      <c r="E184" s="72"/>
      <c r="F184" s="47"/>
      <c r="G184" s="72">
        <v>31306184.42</v>
      </c>
      <c r="H184" s="45">
        <f>O138</f>
        <v>1.1588294920977604</v>
      </c>
      <c r="I184" s="44">
        <f t="shared" si="27"/>
        <v>36278529.79094742</v>
      </c>
      <c r="J184" s="58" t="s">
        <v>195</v>
      </c>
      <c r="K184" s="21"/>
      <c r="L184" s="35"/>
      <c r="M184" s="35"/>
      <c r="N184" s="25"/>
      <c r="O184" s="25"/>
      <c r="P184" s="26"/>
      <c r="Q184" s="26"/>
      <c r="R184" s="26"/>
      <c r="S184" s="26"/>
      <c r="T184" s="26"/>
      <c r="U184"/>
      <c r="V184"/>
    </row>
    <row r="185" spans="1:22" s="27" customFormat="1" ht="21.75" customHeight="1">
      <c r="A185" s="20"/>
      <c r="B185" s="46">
        <f>B184+1</f>
        <v>2</v>
      </c>
      <c r="C185" s="58" t="s">
        <v>158</v>
      </c>
      <c r="D185" s="76">
        <v>40200</v>
      </c>
      <c r="E185" s="72"/>
      <c r="F185" s="47"/>
      <c r="G185" s="72">
        <v>17300000</v>
      </c>
      <c r="H185" s="45">
        <f>O138</f>
        <v>1.1588294920977604</v>
      </c>
      <c r="I185" s="44">
        <f t="shared" si="27"/>
        <v>20047750.213291254</v>
      </c>
      <c r="J185" s="58" t="s">
        <v>101</v>
      </c>
      <c r="K185" s="21"/>
      <c r="L185" s="35"/>
      <c r="M185" s="35"/>
      <c r="N185" s="25"/>
      <c r="O185" s="25"/>
      <c r="P185" s="26"/>
      <c r="Q185" s="26"/>
      <c r="R185" s="26"/>
      <c r="S185" s="26"/>
      <c r="T185" s="26"/>
      <c r="U185"/>
      <c r="V185"/>
    </row>
    <row r="186" spans="1:22" s="27" customFormat="1" ht="21.75" customHeight="1">
      <c r="A186" s="20"/>
      <c r="B186" s="46">
        <f aca="true" t="shared" si="28" ref="B186:B231">B185+1</f>
        <v>3</v>
      </c>
      <c r="C186" s="58" t="s">
        <v>159</v>
      </c>
      <c r="D186" s="76">
        <v>40219</v>
      </c>
      <c r="E186" s="72"/>
      <c r="F186" s="47"/>
      <c r="G186" s="72">
        <v>50000000</v>
      </c>
      <c r="H186" s="45">
        <f>O139</f>
        <v>1.1515745722923187</v>
      </c>
      <c r="I186" s="44">
        <f t="shared" si="27"/>
        <v>57578728.61461594</v>
      </c>
      <c r="J186" s="58" t="s">
        <v>101</v>
      </c>
      <c r="K186" s="21"/>
      <c r="L186" s="35"/>
      <c r="M186" s="35"/>
      <c r="N186" s="25"/>
      <c r="O186" s="25"/>
      <c r="P186" s="26"/>
      <c r="Q186" s="26"/>
      <c r="R186" s="26"/>
      <c r="S186" s="26"/>
      <c r="T186" s="26"/>
      <c r="U186"/>
      <c r="V186"/>
    </row>
    <row r="187" spans="1:22" s="27" customFormat="1" ht="21.75" customHeight="1">
      <c r="A187" s="20"/>
      <c r="B187" s="46">
        <f t="shared" si="28"/>
        <v>4</v>
      </c>
      <c r="C187" s="58" t="s">
        <v>160</v>
      </c>
      <c r="D187" s="76">
        <v>40220</v>
      </c>
      <c r="E187" s="72"/>
      <c r="F187" s="47"/>
      <c r="G187" s="72">
        <v>25734000</v>
      </c>
      <c r="H187" s="45">
        <f>O139</f>
        <v>1.1515745722923187</v>
      </c>
      <c r="I187" s="44">
        <f t="shared" si="27"/>
        <v>29634620.04337053</v>
      </c>
      <c r="J187" s="58" t="s">
        <v>101</v>
      </c>
      <c r="K187" s="21"/>
      <c r="L187" s="35"/>
      <c r="M187" s="35"/>
      <c r="N187" s="25"/>
      <c r="O187" s="25"/>
      <c r="P187" s="26"/>
      <c r="Q187" s="26"/>
      <c r="R187" s="26"/>
      <c r="S187" s="26"/>
      <c r="T187" s="26"/>
      <c r="U187"/>
      <c r="V187"/>
    </row>
    <row r="188" spans="1:22" s="27" customFormat="1" ht="21.75" customHeight="1">
      <c r="A188" s="20"/>
      <c r="B188" s="46">
        <f t="shared" si="28"/>
        <v>5</v>
      </c>
      <c r="C188" s="58" t="s">
        <v>161</v>
      </c>
      <c r="D188" s="76">
        <v>40234</v>
      </c>
      <c r="E188" s="72"/>
      <c r="F188" s="47"/>
      <c r="G188" s="72">
        <v>10000000</v>
      </c>
      <c r="H188" s="45">
        <f>O139</f>
        <v>1.1515745722923187</v>
      </c>
      <c r="I188" s="44">
        <f t="shared" si="27"/>
        <v>11515745.722923188</v>
      </c>
      <c r="J188" s="58" t="s">
        <v>101</v>
      </c>
      <c r="K188" s="21"/>
      <c r="L188" s="35"/>
      <c r="M188" s="35"/>
      <c r="N188" s="25"/>
      <c r="O188" s="25"/>
      <c r="P188" s="26"/>
      <c r="Q188" s="26"/>
      <c r="R188" s="26"/>
      <c r="S188" s="26"/>
      <c r="T188" s="26"/>
      <c r="U188"/>
      <c r="V188"/>
    </row>
    <row r="189" spans="1:22" s="27" customFormat="1" ht="21.75" customHeight="1">
      <c r="A189" s="20"/>
      <c r="B189" s="46">
        <f t="shared" si="28"/>
        <v>6</v>
      </c>
      <c r="C189" s="58" t="s">
        <v>162</v>
      </c>
      <c r="D189" s="76">
        <v>40234</v>
      </c>
      <c r="E189" s="72"/>
      <c r="F189" s="47"/>
      <c r="G189" s="72">
        <v>3402153.21</v>
      </c>
      <c r="H189" s="45">
        <f>O139</f>
        <v>1.1515745722923187</v>
      </c>
      <c r="I189" s="44">
        <f t="shared" si="27"/>
        <v>3917833.127678689</v>
      </c>
      <c r="J189" s="58" t="s">
        <v>195</v>
      </c>
      <c r="K189" s="21"/>
      <c r="L189" s="35"/>
      <c r="M189" s="35"/>
      <c r="N189" s="25"/>
      <c r="O189" s="25"/>
      <c r="P189" s="26"/>
      <c r="Q189" s="26"/>
      <c r="R189" s="26"/>
      <c r="S189" s="26"/>
      <c r="T189" s="26"/>
      <c r="U189"/>
      <c r="V189"/>
    </row>
    <row r="190" spans="1:22" s="27" customFormat="1" ht="21.75" customHeight="1">
      <c r="A190" s="77"/>
      <c r="B190" s="46">
        <f t="shared" si="28"/>
        <v>7</v>
      </c>
      <c r="C190" s="58" t="s">
        <v>163</v>
      </c>
      <c r="D190" s="76">
        <v>40235</v>
      </c>
      <c r="E190" s="72"/>
      <c r="F190" s="47"/>
      <c r="G190" s="72">
        <v>3000000</v>
      </c>
      <c r="H190" s="45">
        <f>O139</f>
        <v>1.1515745722923187</v>
      </c>
      <c r="I190" s="44">
        <f t="shared" si="27"/>
        <v>3454723.716876956</v>
      </c>
      <c r="J190" s="58" t="s">
        <v>204</v>
      </c>
      <c r="K190" s="21"/>
      <c r="L190" s="35"/>
      <c r="M190" s="35"/>
      <c r="N190" s="25"/>
      <c r="O190" s="25"/>
      <c r="P190" s="26"/>
      <c r="Q190" s="26"/>
      <c r="R190" s="26"/>
      <c r="S190" s="26"/>
      <c r="T190" s="26"/>
      <c r="U190"/>
      <c r="V190"/>
    </row>
    <row r="191" spans="1:22" s="27" customFormat="1" ht="21.75" customHeight="1">
      <c r="A191" s="20"/>
      <c r="B191" s="46">
        <f t="shared" si="28"/>
        <v>8</v>
      </c>
      <c r="C191" s="58" t="s">
        <v>164</v>
      </c>
      <c r="D191" s="76">
        <v>40235</v>
      </c>
      <c r="E191" s="72"/>
      <c r="F191" s="47"/>
      <c r="G191" s="72">
        <v>4000000</v>
      </c>
      <c r="H191" s="45">
        <f>O139</f>
        <v>1.1515745722923187</v>
      </c>
      <c r="I191" s="44">
        <f t="shared" si="27"/>
        <v>4606298.289169275</v>
      </c>
      <c r="J191" s="58" t="s">
        <v>101</v>
      </c>
      <c r="K191" s="21"/>
      <c r="L191" s="35"/>
      <c r="M191" s="35"/>
      <c r="N191" s="25"/>
      <c r="O191" s="25"/>
      <c r="P191" s="26"/>
      <c r="Q191" s="26"/>
      <c r="R191" s="26"/>
      <c r="S191" s="26"/>
      <c r="T191" s="26"/>
      <c r="U191"/>
      <c r="V191"/>
    </row>
    <row r="192" spans="1:22" s="27" customFormat="1" ht="21.75" customHeight="1">
      <c r="A192" s="20"/>
      <c r="B192" s="46">
        <f t="shared" si="28"/>
        <v>9</v>
      </c>
      <c r="C192" s="58" t="s">
        <v>182</v>
      </c>
      <c r="D192" s="76">
        <v>40238</v>
      </c>
      <c r="E192" s="72"/>
      <c r="F192" s="47"/>
      <c r="G192" s="72">
        <v>13999200</v>
      </c>
      <c r="H192" s="45">
        <f>O140</f>
        <v>1.1381444675749344</v>
      </c>
      <c r="I192" s="44">
        <f t="shared" si="27"/>
        <v>15933112.03047502</v>
      </c>
      <c r="J192" s="58" t="s">
        <v>195</v>
      </c>
      <c r="K192" s="21"/>
      <c r="L192" s="35"/>
      <c r="M192" s="35"/>
      <c r="N192" s="25"/>
      <c r="O192" s="25"/>
      <c r="P192" s="26"/>
      <c r="Q192" s="26"/>
      <c r="R192" s="26"/>
      <c r="S192" s="26"/>
      <c r="T192" s="26"/>
      <c r="U192"/>
      <c r="V192"/>
    </row>
    <row r="193" spans="1:22" s="27" customFormat="1" ht="21.75" customHeight="1">
      <c r="A193" s="20"/>
      <c r="B193" s="46">
        <f t="shared" si="28"/>
        <v>10</v>
      </c>
      <c r="C193" s="71" t="s">
        <v>186</v>
      </c>
      <c r="D193" s="78">
        <v>40245</v>
      </c>
      <c r="E193" s="79"/>
      <c r="F193" s="47"/>
      <c r="G193" s="75">
        <v>1000000</v>
      </c>
      <c r="H193" s="45">
        <f>H192</f>
        <v>1.1381444675749344</v>
      </c>
      <c r="I193" s="44">
        <f t="shared" si="27"/>
        <v>1138144.4675749345</v>
      </c>
      <c r="J193" s="58" t="s">
        <v>183</v>
      </c>
      <c r="K193" s="21"/>
      <c r="L193" s="35"/>
      <c r="M193" s="35"/>
      <c r="N193" s="25"/>
      <c r="O193" s="25"/>
      <c r="P193" s="26"/>
      <c r="Q193" s="26"/>
      <c r="R193" s="26"/>
      <c r="S193" s="26"/>
      <c r="T193" s="26"/>
      <c r="U193"/>
      <c r="V193"/>
    </row>
    <row r="194" spans="1:22" s="27" customFormat="1" ht="21.75" customHeight="1">
      <c r="A194" s="20"/>
      <c r="B194" s="46">
        <f t="shared" si="28"/>
        <v>11</v>
      </c>
      <c r="C194" s="71" t="s">
        <v>165</v>
      </c>
      <c r="D194" s="78">
        <v>40256</v>
      </c>
      <c r="E194" s="79"/>
      <c r="F194" s="47"/>
      <c r="G194" s="75">
        <v>18609903.89</v>
      </c>
      <c r="H194" s="45">
        <f>H193</f>
        <v>1.1381444675749344</v>
      </c>
      <c r="I194" s="44">
        <f t="shared" si="27"/>
        <v>21180759.15450475</v>
      </c>
      <c r="J194" s="58" t="s">
        <v>195</v>
      </c>
      <c r="K194" s="21"/>
      <c r="L194" s="35"/>
      <c r="M194" s="35"/>
      <c r="N194" s="25"/>
      <c r="O194" s="25"/>
      <c r="P194" s="26"/>
      <c r="Q194" s="26"/>
      <c r="R194" s="26"/>
      <c r="S194" s="26"/>
      <c r="T194" s="26"/>
      <c r="U194"/>
      <c r="V194"/>
    </row>
    <row r="195" spans="1:22" s="27" customFormat="1" ht="21.75" customHeight="1">
      <c r="A195" s="20"/>
      <c r="B195" s="46">
        <f t="shared" si="28"/>
        <v>12</v>
      </c>
      <c r="C195" s="71" t="s">
        <v>187</v>
      </c>
      <c r="D195" s="78">
        <v>40259</v>
      </c>
      <c r="E195" s="82">
        <v>2000000</v>
      </c>
      <c r="F195" s="41">
        <v>1.71</v>
      </c>
      <c r="G195" s="44">
        <f>E195*F195</f>
        <v>3420000</v>
      </c>
      <c r="H195" s="45">
        <f>H194</f>
        <v>1.1381444675749344</v>
      </c>
      <c r="I195" s="44">
        <f t="shared" si="27"/>
        <v>3892454.0791062755</v>
      </c>
      <c r="J195" s="58" t="s">
        <v>101</v>
      </c>
      <c r="K195" s="21"/>
      <c r="L195" s="35"/>
      <c r="M195" s="35"/>
      <c r="N195" s="25"/>
      <c r="O195" s="25"/>
      <c r="P195" s="26"/>
      <c r="Q195" s="26"/>
      <c r="R195" s="26"/>
      <c r="S195" s="26"/>
      <c r="T195" s="26"/>
      <c r="U195"/>
      <c r="V195"/>
    </row>
    <row r="196" spans="1:22" s="27" customFormat="1" ht="21.75" customHeight="1">
      <c r="A196" s="20"/>
      <c r="B196" s="46">
        <f t="shared" si="28"/>
        <v>13</v>
      </c>
      <c r="C196" s="71" t="s">
        <v>188</v>
      </c>
      <c r="D196" s="78">
        <v>40292</v>
      </c>
      <c r="E196" s="72"/>
      <c r="F196" s="47"/>
      <c r="G196" s="83" t="s">
        <v>104</v>
      </c>
      <c r="H196" s="45"/>
      <c r="I196" s="44">
        <v>0</v>
      </c>
      <c r="J196" s="58" t="s">
        <v>204</v>
      </c>
      <c r="K196" s="21"/>
      <c r="L196" s="35"/>
      <c r="M196" s="35"/>
      <c r="N196" s="25"/>
      <c r="O196" s="25"/>
      <c r="P196" s="26"/>
      <c r="Q196" s="26"/>
      <c r="R196" s="26"/>
      <c r="S196" s="26"/>
      <c r="T196" s="26"/>
      <c r="U196"/>
      <c r="V196"/>
    </row>
    <row r="197" spans="1:22" s="27" customFormat="1" ht="21.75" customHeight="1">
      <c r="A197" s="20"/>
      <c r="B197" s="46">
        <f t="shared" si="28"/>
        <v>14</v>
      </c>
      <c r="C197" s="71" t="s">
        <v>208</v>
      </c>
      <c r="D197" s="78">
        <v>40268</v>
      </c>
      <c r="E197" s="72"/>
      <c r="F197" s="47"/>
      <c r="G197" s="75">
        <v>6800000</v>
      </c>
      <c r="H197" s="45">
        <f>H195</f>
        <v>1.1381444675749344</v>
      </c>
      <c r="I197" s="44">
        <f t="shared" si="27"/>
        <v>7739382.379509553</v>
      </c>
      <c r="J197" s="58" t="s">
        <v>101</v>
      </c>
      <c r="K197" s="21"/>
      <c r="L197" s="35"/>
      <c r="M197" s="35"/>
      <c r="N197" s="25"/>
      <c r="O197" s="25"/>
      <c r="P197" s="26"/>
      <c r="Q197" s="26"/>
      <c r="R197" s="26"/>
      <c r="S197" s="26"/>
      <c r="T197" s="26"/>
      <c r="U197"/>
      <c r="V197"/>
    </row>
    <row r="198" spans="1:22" s="27" customFormat="1" ht="21.75" customHeight="1">
      <c r="A198" s="20"/>
      <c r="B198" s="46">
        <f t="shared" si="28"/>
        <v>15</v>
      </c>
      <c r="C198" s="71" t="s">
        <v>209</v>
      </c>
      <c r="D198" s="78">
        <v>40268</v>
      </c>
      <c r="E198" s="72"/>
      <c r="F198" s="47"/>
      <c r="G198" s="75">
        <v>30000000</v>
      </c>
      <c r="H198" s="45">
        <f>H197</f>
        <v>1.1381444675749344</v>
      </c>
      <c r="I198" s="44">
        <f t="shared" si="27"/>
        <v>34144334.02724803</v>
      </c>
      <c r="J198" s="58" t="s">
        <v>101</v>
      </c>
      <c r="K198" s="21"/>
      <c r="L198" s="35"/>
      <c r="M198" s="35"/>
      <c r="N198" s="25"/>
      <c r="O198" s="25"/>
      <c r="P198" s="26"/>
      <c r="Q198" s="26"/>
      <c r="R198" s="26"/>
      <c r="S198" s="26"/>
      <c r="T198" s="26"/>
      <c r="U198"/>
      <c r="V198"/>
    </row>
    <row r="199" spans="1:22" s="27" customFormat="1" ht="21.75" customHeight="1">
      <c r="A199" s="20"/>
      <c r="B199" s="46">
        <f t="shared" si="28"/>
        <v>16</v>
      </c>
      <c r="C199" s="71" t="s">
        <v>210</v>
      </c>
      <c r="D199" s="78">
        <v>40295</v>
      </c>
      <c r="E199" s="63"/>
      <c r="F199" s="47"/>
      <c r="G199" s="83" t="s">
        <v>104</v>
      </c>
      <c r="H199" s="45"/>
      <c r="I199" s="44">
        <v>0</v>
      </c>
      <c r="J199" s="58" t="s">
        <v>195</v>
      </c>
      <c r="K199" s="21"/>
      <c r="L199" s="35"/>
      <c r="M199" s="35"/>
      <c r="N199" s="25"/>
      <c r="O199" s="25"/>
      <c r="P199" s="26"/>
      <c r="Q199" s="26"/>
      <c r="R199" s="26"/>
      <c r="S199" s="26"/>
      <c r="T199" s="26"/>
      <c r="U199"/>
      <c r="V199"/>
    </row>
    <row r="200" spans="1:22" s="27" customFormat="1" ht="21.75" customHeight="1">
      <c r="A200" s="20"/>
      <c r="B200" s="46">
        <f t="shared" si="28"/>
        <v>17</v>
      </c>
      <c r="C200" s="71" t="s">
        <v>211</v>
      </c>
      <c r="D200" s="78">
        <v>40295</v>
      </c>
      <c r="E200" s="72"/>
      <c r="F200" s="47"/>
      <c r="G200" s="75">
        <v>100000000</v>
      </c>
      <c r="H200" s="45">
        <f>O141</f>
        <v>1.1275455395036005</v>
      </c>
      <c r="I200" s="44">
        <f t="shared" si="27"/>
        <v>112754553.95036004</v>
      </c>
      <c r="J200" s="58" t="s">
        <v>101</v>
      </c>
      <c r="K200" s="21"/>
      <c r="L200" s="35"/>
      <c r="M200" s="35"/>
      <c r="N200" s="25"/>
      <c r="O200" s="25"/>
      <c r="P200" s="26"/>
      <c r="Q200" s="26"/>
      <c r="R200" s="26"/>
      <c r="S200" s="26"/>
      <c r="T200" s="26"/>
      <c r="U200"/>
      <c r="V200"/>
    </row>
    <row r="201" spans="1:22" s="27" customFormat="1" ht="21.75" customHeight="1">
      <c r="A201" s="20"/>
      <c r="B201" s="46">
        <f t="shared" si="28"/>
        <v>18</v>
      </c>
      <c r="C201" s="71" t="s">
        <v>212</v>
      </c>
      <c r="D201" s="78">
        <v>40295</v>
      </c>
      <c r="E201" s="72"/>
      <c r="F201" s="47"/>
      <c r="G201" s="75">
        <v>3000000</v>
      </c>
      <c r="H201" s="45">
        <f>O141</f>
        <v>1.1275455395036005</v>
      </c>
      <c r="I201" s="44">
        <f t="shared" si="27"/>
        <v>3382636.6185108013</v>
      </c>
      <c r="J201" s="58" t="s">
        <v>195</v>
      </c>
      <c r="K201" s="21"/>
      <c r="L201" s="35"/>
      <c r="M201" s="35"/>
      <c r="N201" s="25"/>
      <c r="O201" s="25"/>
      <c r="P201" s="26"/>
      <c r="Q201" s="26"/>
      <c r="R201" s="26"/>
      <c r="S201" s="26"/>
      <c r="T201" s="26"/>
      <c r="U201"/>
      <c r="V201"/>
    </row>
    <row r="202" spans="1:22" s="27" customFormat="1" ht="21.75" customHeight="1">
      <c r="A202" s="20"/>
      <c r="B202" s="46">
        <f t="shared" si="28"/>
        <v>19</v>
      </c>
      <c r="C202" s="71" t="s">
        <v>213</v>
      </c>
      <c r="D202" s="78">
        <v>40295</v>
      </c>
      <c r="E202" s="63"/>
      <c r="F202" s="47"/>
      <c r="G202" s="83" t="s">
        <v>104</v>
      </c>
      <c r="H202" s="45">
        <f>O141</f>
        <v>1.1275455395036005</v>
      </c>
      <c r="I202" s="44">
        <v>0</v>
      </c>
      <c r="J202" s="58" t="s">
        <v>195</v>
      </c>
      <c r="K202" s="21"/>
      <c r="L202" s="35"/>
      <c r="M202" s="35"/>
      <c r="N202" s="25"/>
      <c r="O202" s="25"/>
      <c r="P202" s="26"/>
      <c r="Q202" s="26"/>
      <c r="R202" s="26"/>
      <c r="S202" s="26"/>
      <c r="T202" s="26"/>
      <c r="U202"/>
      <c r="V202"/>
    </row>
    <row r="203" spans="1:22" s="27" customFormat="1" ht="21.75" customHeight="1">
      <c r="A203" s="20"/>
      <c r="B203" s="46">
        <f t="shared" si="28"/>
        <v>20</v>
      </c>
      <c r="C203" s="71" t="s">
        <v>214</v>
      </c>
      <c r="D203" s="78">
        <v>40319</v>
      </c>
      <c r="E203" s="82">
        <v>688750</v>
      </c>
      <c r="F203" s="86">
        <v>1.71</v>
      </c>
      <c r="G203" s="75">
        <v>1177762.5</v>
      </c>
      <c r="H203" s="45">
        <f>O142</f>
        <v>1.1189297801960905</v>
      </c>
      <c r="I203" s="44">
        <f t="shared" si="27"/>
        <v>1317833.535248198</v>
      </c>
      <c r="J203" s="58" t="s">
        <v>195</v>
      </c>
      <c r="K203" s="21"/>
      <c r="L203" s="35"/>
      <c r="M203" s="35"/>
      <c r="N203" s="25"/>
      <c r="O203" s="25"/>
      <c r="P203" s="26"/>
      <c r="Q203" s="26"/>
      <c r="R203" s="26"/>
      <c r="S203" s="26"/>
      <c r="T203" s="26"/>
      <c r="U203"/>
      <c r="V203"/>
    </row>
    <row r="204" spans="1:22" s="27" customFormat="1" ht="21.75" customHeight="1">
      <c r="A204" s="20"/>
      <c r="B204" s="46">
        <f t="shared" si="28"/>
        <v>21</v>
      </c>
      <c r="C204" s="71" t="s">
        <v>215</v>
      </c>
      <c r="D204" s="78">
        <v>40340</v>
      </c>
      <c r="E204" s="72"/>
      <c r="F204" s="47"/>
      <c r="G204" s="75">
        <v>1000010</v>
      </c>
      <c r="H204" s="45">
        <f>O143</f>
        <v>1.106317757757653</v>
      </c>
      <c r="I204" s="44">
        <f t="shared" si="27"/>
        <v>1106328.8209352307</v>
      </c>
      <c r="J204" s="58" t="s">
        <v>101</v>
      </c>
      <c r="K204" s="21"/>
      <c r="L204" s="35"/>
      <c r="M204" s="35"/>
      <c r="N204" s="25"/>
      <c r="O204" s="25"/>
      <c r="P204" s="26"/>
      <c r="Q204" s="26"/>
      <c r="R204" s="26"/>
      <c r="S204" s="26"/>
      <c r="T204" s="26"/>
      <c r="U204"/>
      <c r="V204"/>
    </row>
    <row r="205" spans="1:22" s="27" customFormat="1" ht="21.75" customHeight="1">
      <c r="A205" s="20"/>
      <c r="B205" s="46">
        <f t="shared" si="28"/>
        <v>22</v>
      </c>
      <c r="C205" s="71" t="s">
        <v>216</v>
      </c>
      <c r="D205" s="78">
        <v>40360</v>
      </c>
      <c r="E205" s="72"/>
      <c r="F205" s="47"/>
      <c r="G205" s="83" t="s">
        <v>104</v>
      </c>
      <c r="H205" s="45">
        <f>O144</f>
        <v>1.0969933145836916</v>
      </c>
      <c r="I205" s="44">
        <v>0</v>
      </c>
      <c r="J205" s="58" t="s">
        <v>101</v>
      </c>
      <c r="K205" s="21"/>
      <c r="L205" s="35"/>
      <c r="M205" s="35"/>
      <c r="N205" s="25"/>
      <c r="O205" s="25"/>
      <c r="P205" s="26"/>
      <c r="Q205" s="26"/>
      <c r="R205" s="26"/>
      <c r="S205" s="26"/>
      <c r="T205" s="26"/>
      <c r="U205"/>
      <c r="V205"/>
    </row>
    <row r="206" spans="1:22" s="27" customFormat="1" ht="21.75" customHeight="1">
      <c r="A206" s="20"/>
      <c r="B206" s="46">
        <f t="shared" si="28"/>
        <v>23</v>
      </c>
      <c r="C206" s="71" t="s">
        <v>217</v>
      </c>
      <c r="D206" s="78">
        <v>40366</v>
      </c>
      <c r="E206" s="72"/>
      <c r="F206" s="47"/>
      <c r="G206" s="75">
        <v>1555495.32</v>
      </c>
      <c r="H206" s="45">
        <f>O144</f>
        <v>1.0969933145836916</v>
      </c>
      <c r="I206" s="44">
        <f t="shared" si="27"/>
        <v>1706367.9669062202</v>
      </c>
      <c r="J206" s="58" t="s">
        <v>195</v>
      </c>
      <c r="K206" s="21"/>
      <c r="L206" s="35"/>
      <c r="M206" s="35"/>
      <c r="N206" s="25"/>
      <c r="O206" s="25"/>
      <c r="P206" s="26"/>
      <c r="Q206" s="26"/>
      <c r="R206" s="26"/>
      <c r="S206" s="26"/>
      <c r="T206" s="26"/>
      <c r="U206"/>
      <c r="V206"/>
    </row>
    <row r="207" spans="1:22" s="27" customFormat="1" ht="21.75" customHeight="1">
      <c r="A207" s="20"/>
      <c r="B207" s="46">
        <f t="shared" si="28"/>
        <v>24</v>
      </c>
      <c r="C207" s="71" t="s">
        <v>218</v>
      </c>
      <c r="D207" s="78">
        <v>40013</v>
      </c>
      <c r="E207" s="72"/>
      <c r="F207" s="47"/>
      <c r="G207" s="75">
        <v>393489.58</v>
      </c>
      <c r="H207" s="45">
        <f>O144</f>
        <v>1.0969933145836916</v>
      </c>
      <c r="I207" s="44">
        <f t="shared" si="27"/>
        <v>431655.4386183447</v>
      </c>
      <c r="J207" s="58" t="s">
        <v>101</v>
      </c>
      <c r="K207" s="21"/>
      <c r="L207" s="35"/>
      <c r="M207" s="35"/>
      <c r="N207" s="25"/>
      <c r="O207" s="25"/>
      <c r="P207" s="26"/>
      <c r="Q207" s="26"/>
      <c r="R207" s="26"/>
      <c r="S207" s="26"/>
      <c r="T207" s="26"/>
      <c r="U207"/>
      <c r="V207"/>
    </row>
    <row r="208" spans="1:22" s="27" customFormat="1" ht="21.75" customHeight="1">
      <c r="A208" s="20"/>
      <c r="B208" s="46">
        <f t="shared" si="28"/>
        <v>25</v>
      </c>
      <c r="C208" s="71" t="s">
        <v>219</v>
      </c>
      <c r="D208" s="78">
        <v>40375</v>
      </c>
      <c r="E208" s="72"/>
      <c r="F208" s="47"/>
      <c r="G208" s="75">
        <v>30000000</v>
      </c>
      <c r="H208" s="45">
        <f>O144</f>
        <v>1.0969933145836916</v>
      </c>
      <c r="I208" s="44">
        <f t="shared" si="27"/>
        <v>32909799.43751075</v>
      </c>
      <c r="J208" s="41" t="s">
        <v>183</v>
      </c>
      <c r="K208" s="21"/>
      <c r="L208" s="35"/>
      <c r="M208" s="35"/>
      <c r="N208" s="25"/>
      <c r="O208" s="25"/>
      <c r="P208" s="26"/>
      <c r="Q208" s="26"/>
      <c r="R208" s="26"/>
      <c r="S208" s="26"/>
      <c r="T208" s="26"/>
      <c r="U208"/>
      <c r="V208"/>
    </row>
    <row r="209" spans="1:22" s="27" customFormat="1" ht="21.75" customHeight="1">
      <c r="A209" s="20"/>
      <c r="B209" s="46">
        <f t="shared" si="28"/>
        <v>26</v>
      </c>
      <c r="C209" s="71" t="s">
        <v>220</v>
      </c>
      <c r="D209" s="78">
        <v>40380</v>
      </c>
      <c r="E209" s="63"/>
      <c r="F209" s="79"/>
      <c r="G209" s="83" t="s">
        <v>104</v>
      </c>
      <c r="H209" s="87">
        <f>O144</f>
        <v>1.0969933145836916</v>
      </c>
      <c r="I209" s="44">
        <v>0</v>
      </c>
      <c r="J209" s="41" t="s">
        <v>204</v>
      </c>
      <c r="K209" s="21"/>
      <c r="L209" s="35"/>
      <c r="M209" s="35"/>
      <c r="N209" s="25"/>
      <c r="O209" s="25"/>
      <c r="P209" s="26"/>
      <c r="Q209" s="26"/>
      <c r="R209" s="26"/>
      <c r="S209" s="26"/>
      <c r="T209" s="26"/>
      <c r="U209"/>
      <c r="V209"/>
    </row>
    <row r="210" spans="1:22" s="27" customFormat="1" ht="21.75" customHeight="1">
      <c r="A210" s="20"/>
      <c r="B210" s="46">
        <f t="shared" si="28"/>
        <v>27</v>
      </c>
      <c r="C210" s="71" t="s">
        <v>221</v>
      </c>
      <c r="D210" s="78">
        <v>40396</v>
      </c>
      <c r="E210" s="79"/>
      <c r="F210" s="79"/>
      <c r="G210" s="75">
        <v>5500000</v>
      </c>
      <c r="H210" s="87">
        <f>O145</f>
        <v>1.0953502891499667</v>
      </c>
      <c r="I210" s="44">
        <f t="shared" si="27"/>
        <v>6024426.590324816</v>
      </c>
      <c r="J210" s="41" t="s">
        <v>101</v>
      </c>
      <c r="K210" s="21"/>
      <c r="L210" s="35"/>
      <c r="M210" s="35"/>
      <c r="N210" s="25"/>
      <c r="O210" s="25"/>
      <c r="P210" s="26"/>
      <c r="Q210" s="26"/>
      <c r="R210" s="26"/>
      <c r="S210" s="26"/>
      <c r="T210" s="26"/>
      <c r="U210"/>
      <c r="V210"/>
    </row>
    <row r="211" spans="1:22" s="27" customFormat="1" ht="21.75" customHeight="1">
      <c r="A211" s="20"/>
      <c r="B211" s="46">
        <f t="shared" si="28"/>
        <v>28</v>
      </c>
      <c r="C211" s="71" t="s">
        <v>222</v>
      </c>
      <c r="D211" s="78">
        <v>40406</v>
      </c>
      <c r="E211" s="79"/>
      <c r="F211" s="79"/>
      <c r="G211" s="75">
        <v>540984</v>
      </c>
      <c r="H211" s="87">
        <f>O145</f>
        <v>1.0953502891499667</v>
      </c>
      <c r="I211" s="44">
        <f t="shared" si="27"/>
        <v>592566.9808255056</v>
      </c>
      <c r="J211" s="41" t="s">
        <v>101</v>
      </c>
      <c r="K211" s="21"/>
      <c r="L211" s="35"/>
      <c r="M211" s="35"/>
      <c r="N211" s="25"/>
      <c r="O211" s="25"/>
      <c r="P211" s="26"/>
      <c r="Q211" s="26"/>
      <c r="R211" s="26"/>
      <c r="S211" s="26"/>
      <c r="T211" s="26"/>
      <c r="U211"/>
      <c r="V211"/>
    </row>
    <row r="212" spans="1:22" s="27" customFormat="1" ht="21.75" customHeight="1">
      <c r="A212" s="20"/>
      <c r="B212" s="46">
        <f t="shared" si="28"/>
        <v>29</v>
      </c>
      <c r="C212" s="71" t="s">
        <v>223</v>
      </c>
      <c r="D212" s="78">
        <v>40415</v>
      </c>
      <c r="E212" s="88"/>
      <c r="F212" s="41"/>
      <c r="G212" s="75">
        <v>803173.9</v>
      </c>
      <c r="H212" s="87">
        <f>O145</f>
        <v>1.0953502891499667</v>
      </c>
      <c r="I212" s="44">
        <f t="shared" si="27"/>
        <v>879756.7636027065</v>
      </c>
      <c r="J212" s="41" t="s">
        <v>101</v>
      </c>
      <c r="K212" s="21"/>
      <c r="L212" s="35"/>
      <c r="M212" s="35"/>
      <c r="N212" s="25"/>
      <c r="O212" s="25"/>
      <c r="P212" s="26"/>
      <c r="Q212" s="26"/>
      <c r="R212" s="26"/>
      <c r="S212" s="26"/>
      <c r="T212" s="26"/>
      <c r="U212"/>
      <c r="V212"/>
    </row>
    <row r="213" spans="1:22" s="27" customFormat="1" ht="21.75" customHeight="1">
      <c r="A213" s="20"/>
      <c r="B213" s="46">
        <f t="shared" si="28"/>
        <v>30</v>
      </c>
      <c r="C213" s="71" t="s">
        <v>224</v>
      </c>
      <c r="D213" s="78">
        <v>40423</v>
      </c>
      <c r="E213" s="88"/>
      <c r="F213" s="41"/>
      <c r="G213" s="75">
        <v>803173.9</v>
      </c>
      <c r="H213" s="87">
        <f>O146</f>
        <v>1.0869805389996692</v>
      </c>
      <c r="I213" s="44">
        <f t="shared" si="27"/>
        <v>873034.3987324664</v>
      </c>
      <c r="J213" s="71" t="s">
        <v>533</v>
      </c>
      <c r="K213" s="21"/>
      <c r="L213" s="35"/>
      <c r="M213" s="35"/>
      <c r="N213" s="25"/>
      <c r="O213" s="25"/>
      <c r="P213" s="26"/>
      <c r="Q213" s="26"/>
      <c r="R213" s="26"/>
      <c r="S213" s="26"/>
      <c r="T213" s="26"/>
      <c r="U213"/>
      <c r="V213"/>
    </row>
    <row r="214" spans="1:22" s="27" customFormat="1" ht="21.75" customHeight="1">
      <c r="A214" s="20"/>
      <c r="B214" s="46">
        <f t="shared" si="28"/>
        <v>31</v>
      </c>
      <c r="C214" s="71" t="s">
        <v>225</v>
      </c>
      <c r="D214" s="78">
        <v>40471</v>
      </c>
      <c r="E214" s="88"/>
      <c r="F214" s="41"/>
      <c r="G214" s="75">
        <v>1000000</v>
      </c>
      <c r="H214" s="87">
        <f>O147</f>
        <v>1.0746223816111409</v>
      </c>
      <c r="I214" s="44">
        <f t="shared" si="27"/>
        <v>1074622.381611141</v>
      </c>
      <c r="J214" s="41" t="s">
        <v>101</v>
      </c>
      <c r="K214" s="21"/>
      <c r="L214" s="35"/>
      <c r="M214" s="35"/>
      <c r="N214" s="25"/>
      <c r="O214" s="25"/>
      <c r="P214" s="26"/>
      <c r="Q214" s="26"/>
      <c r="R214" s="26"/>
      <c r="S214" s="26"/>
      <c r="T214" s="26"/>
      <c r="U214"/>
      <c r="V214"/>
    </row>
    <row r="215" spans="1:22" s="27" customFormat="1" ht="21.75" customHeight="1">
      <c r="A215" s="20"/>
      <c r="B215" s="46">
        <f t="shared" si="28"/>
        <v>32</v>
      </c>
      <c r="C215" s="71" t="s">
        <v>226</v>
      </c>
      <c r="D215" s="78">
        <v>40450</v>
      </c>
      <c r="E215" s="88"/>
      <c r="F215" s="41"/>
      <c r="G215" s="75">
        <v>1500000</v>
      </c>
      <c r="H215" s="87">
        <f>O146</f>
        <v>1.0869805389996692</v>
      </c>
      <c r="I215" s="44">
        <f t="shared" si="27"/>
        <v>1630470.8084995039</v>
      </c>
      <c r="J215" s="41" t="s">
        <v>101</v>
      </c>
      <c r="K215" s="21"/>
      <c r="L215" s="35"/>
      <c r="M215" s="35"/>
      <c r="N215" s="25"/>
      <c r="O215" s="25"/>
      <c r="P215" s="26"/>
      <c r="Q215" s="26"/>
      <c r="R215" s="26"/>
      <c r="S215" s="26"/>
      <c r="T215" s="26"/>
      <c r="U215"/>
      <c r="V215"/>
    </row>
    <row r="216" spans="1:22" s="27" customFormat="1" ht="21.75" customHeight="1">
      <c r="A216" s="20"/>
      <c r="B216" s="46">
        <f t="shared" si="28"/>
        <v>33</v>
      </c>
      <c r="C216" s="71" t="s">
        <v>227</v>
      </c>
      <c r="D216" s="78">
        <v>40458</v>
      </c>
      <c r="E216" s="88"/>
      <c r="F216" s="41"/>
      <c r="G216" s="75">
        <v>13640575</v>
      </c>
      <c r="H216" s="87">
        <f>O147</f>
        <v>1.0746223816111409</v>
      </c>
      <c r="I216" s="44">
        <f t="shared" si="27"/>
        <v>14658467.193045387</v>
      </c>
      <c r="J216" s="41" t="s">
        <v>101</v>
      </c>
      <c r="K216" s="21"/>
      <c r="L216" s="35"/>
      <c r="M216" s="35"/>
      <c r="N216" s="25"/>
      <c r="O216" s="25"/>
      <c r="P216" s="26"/>
      <c r="Q216" s="26"/>
      <c r="R216" s="26"/>
      <c r="S216" s="26"/>
      <c r="T216" s="26"/>
      <c r="U216"/>
      <c r="V216"/>
    </row>
    <row r="217" spans="1:22" s="27" customFormat="1" ht="21.75" customHeight="1">
      <c r="A217" s="20"/>
      <c r="B217" s="46">
        <f t="shared" si="28"/>
        <v>34</v>
      </c>
      <c r="C217" s="71" t="s">
        <v>228</v>
      </c>
      <c r="D217" s="78">
        <v>40478</v>
      </c>
      <c r="E217" s="88"/>
      <c r="F217" s="41"/>
      <c r="G217" s="75">
        <v>2872378.48</v>
      </c>
      <c r="H217" s="87">
        <f>O147</f>
        <v>1.0746223816111409</v>
      </c>
      <c r="I217" s="44">
        <f t="shared" si="27"/>
        <v>3086722.203066189</v>
      </c>
      <c r="J217" s="41" t="s">
        <v>101</v>
      </c>
      <c r="K217" s="21"/>
      <c r="L217" s="35"/>
      <c r="M217" s="35"/>
      <c r="N217" s="25"/>
      <c r="O217" s="25"/>
      <c r="P217" s="26"/>
      <c r="Q217" s="26"/>
      <c r="R217" s="26"/>
      <c r="S217" s="26"/>
      <c r="T217" s="26"/>
      <c r="U217"/>
      <c r="V217"/>
    </row>
    <row r="218" spans="1:22" s="27" customFormat="1" ht="21.75" customHeight="1">
      <c r="A218" s="20"/>
      <c r="B218" s="46">
        <f t="shared" si="28"/>
        <v>35</v>
      </c>
      <c r="C218" s="71" t="s">
        <v>229</v>
      </c>
      <c r="D218" s="78">
        <v>40480</v>
      </c>
      <c r="E218" s="63"/>
      <c r="F218" s="58"/>
      <c r="G218" s="83" t="s">
        <v>104</v>
      </c>
      <c r="H218" s="87">
        <f>O147</f>
        <v>1.0746223816111409</v>
      </c>
      <c r="I218" s="44">
        <v>0</v>
      </c>
      <c r="J218" s="41" t="s">
        <v>101</v>
      </c>
      <c r="K218" s="21"/>
      <c r="L218" s="35"/>
      <c r="M218" s="35"/>
      <c r="N218" s="25"/>
      <c r="O218" s="25"/>
      <c r="P218" s="26"/>
      <c r="Q218" s="26"/>
      <c r="R218" s="26"/>
      <c r="S218" s="26"/>
      <c r="T218" s="26"/>
      <c r="U218"/>
      <c r="V218"/>
    </row>
    <row r="219" spans="1:22" s="27" customFormat="1" ht="21.75" customHeight="1">
      <c r="A219" s="20"/>
      <c r="B219" s="46">
        <f t="shared" si="28"/>
        <v>36</v>
      </c>
      <c r="C219" s="71" t="s">
        <v>230</v>
      </c>
      <c r="D219" s="78">
        <v>40500</v>
      </c>
      <c r="E219" s="88"/>
      <c r="F219" s="58"/>
      <c r="G219" s="75">
        <v>90000000</v>
      </c>
      <c r="H219" s="87">
        <f>O148</f>
        <v>1.0638772216722512</v>
      </c>
      <c r="I219" s="44">
        <f aca="true" t="shared" si="29" ref="I219:I282">H219*G219</f>
        <v>95748949.9505026</v>
      </c>
      <c r="J219" s="41" t="s">
        <v>101</v>
      </c>
      <c r="K219" s="21"/>
      <c r="L219" s="35"/>
      <c r="M219" s="35"/>
      <c r="N219" s="25"/>
      <c r="O219" s="25"/>
      <c r="P219" s="26"/>
      <c r="Q219" s="26"/>
      <c r="R219" s="26"/>
      <c r="S219" s="26"/>
      <c r="T219" s="26"/>
      <c r="U219"/>
      <c r="V219"/>
    </row>
    <row r="220" spans="1:22" s="27" customFormat="1" ht="21.75" customHeight="1">
      <c r="A220" s="20"/>
      <c r="B220" s="46">
        <f t="shared" si="28"/>
        <v>37</v>
      </c>
      <c r="C220" s="71" t="s">
        <v>231</v>
      </c>
      <c r="D220" s="78">
        <v>40507</v>
      </c>
      <c r="E220" s="88"/>
      <c r="F220" s="58"/>
      <c r="G220" s="83" t="s">
        <v>104</v>
      </c>
      <c r="H220" s="87">
        <f>O148</f>
        <v>1.0638772216722512</v>
      </c>
      <c r="I220" s="44">
        <v>0</v>
      </c>
      <c r="J220" s="41" t="s">
        <v>101</v>
      </c>
      <c r="K220" s="21"/>
      <c r="L220" s="35"/>
      <c r="M220" s="35"/>
      <c r="N220" s="25"/>
      <c r="O220" s="25"/>
      <c r="P220" s="26"/>
      <c r="Q220" s="26"/>
      <c r="R220" s="26"/>
      <c r="S220" s="26"/>
      <c r="T220" s="26"/>
      <c r="U220"/>
      <c r="V220"/>
    </row>
    <row r="221" spans="1:22" s="27" customFormat="1" ht="21.75" customHeight="1">
      <c r="A221" s="20"/>
      <c r="B221" s="46">
        <f t="shared" si="28"/>
        <v>38</v>
      </c>
      <c r="C221" s="71" t="s">
        <v>232</v>
      </c>
      <c r="D221" s="78">
        <v>40508</v>
      </c>
      <c r="E221" s="63"/>
      <c r="F221" s="58"/>
      <c r="G221" s="83" t="s">
        <v>104</v>
      </c>
      <c r="H221" s="87">
        <f>O148</f>
        <v>1.0638772216722512</v>
      </c>
      <c r="I221" s="44">
        <v>0</v>
      </c>
      <c r="J221" s="41" t="s">
        <v>101</v>
      </c>
      <c r="K221" s="21"/>
      <c r="L221" s="35"/>
      <c r="M221" s="35"/>
      <c r="N221" s="25"/>
      <c r="O221" s="25"/>
      <c r="P221" s="26"/>
      <c r="Q221" s="26"/>
      <c r="R221" s="26"/>
      <c r="S221" s="26"/>
      <c r="T221" s="26"/>
      <c r="U221"/>
      <c r="V221"/>
    </row>
    <row r="222" spans="1:22" s="27" customFormat="1" ht="21.75" customHeight="1">
      <c r="A222" s="20"/>
      <c r="B222" s="46">
        <f t="shared" si="28"/>
        <v>39</v>
      </c>
      <c r="C222" s="71" t="s">
        <v>233</v>
      </c>
      <c r="D222" s="78">
        <v>40508</v>
      </c>
      <c r="E222" s="88"/>
      <c r="F222" s="58"/>
      <c r="G222" s="83" t="s">
        <v>104</v>
      </c>
      <c r="H222" s="87">
        <f>O148</f>
        <v>1.0638772216722512</v>
      </c>
      <c r="I222" s="44">
        <v>0</v>
      </c>
      <c r="J222" s="41" t="s">
        <v>101</v>
      </c>
      <c r="K222" s="21"/>
      <c r="L222" s="35"/>
      <c r="M222" s="35"/>
      <c r="N222" s="25"/>
      <c r="O222" s="25"/>
      <c r="P222" s="26"/>
      <c r="Q222" s="26"/>
      <c r="R222" s="26"/>
      <c r="S222" s="26"/>
      <c r="T222" s="26"/>
      <c r="U222"/>
      <c r="V222"/>
    </row>
    <row r="223" spans="1:22" s="27" customFormat="1" ht="21.75" customHeight="1">
      <c r="A223" s="20"/>
      <c r="B223" s="46">
        <f t="shared" si="28"/>
        <v>40</v>
      </c>
      <c r="C223" s="71" t="s">
        <v>234</v>
      </c>
      <c r="D223" s="78">
        <v>40507</v>
      </c>
      <c r="E223" s="88"/>
      <c r="F223" s="58"/>
      <c r="G223" s="83" t="s">
        <v>104</v>
      </c>
      <c r="H223" s="87">
        <f>O148</f>
        <v>1.0638772216722512</v>
      </c>
      <c r="I223" s="44">
        <v>0</v>
      </c>
      <c r="J223" s="71" t="s">
        <v>533</v>
      </c>
      <c r="K223" s="21"/>
      <c r="L223" s="35"/>
      <c r="M223" s="35"/>
      <c r="N223" s="25"/>
      <c r="O223" s="25"/>
      <c r="P223" s="26"/>
      <c r="Q223" s="26"/>
      <c r="R223" s="26"/>
      <c r="S223" s="26"/>
      <c r="T223" s="26"/>
      <c r="U223"/>
      <c r="V223"/>
    </row>
    <row r="224" spans="1:22" s="27" customFormat="1" ht="21.75" customHeight="1">
      <c r="A224" s="20"/>
      <c r="B224" s="46">
        <f t="shared" si="28"/>
        <v>41</v>
      </c>
      <c r="C224" s="71" t="s">
        <v>235</v>
      </c>
      <c r="D224" s="78">
        <v>40513</v>
      </c>
      <c r="E224" s="74"/>
      <c r="F224" s="74"/>
      <c r="G224" s="89" t="s">
        <v>104</v>
      </c>
      <c r="H224" s="87">
        <f>O149</f>
        <v>1.0486714851377539</v>
      </c>
      <c r="I224" s="44">
        <v>0</v>
      </c>
      <c r="J224" s="41" t="s">
        <v>195</v>
      </c>
      <c r="K224" s="21"/>
      <c r="L224" s="35"/>
      <c r="M224" s="35"/>
      <c r="N224" s="25"/>
      <c r="O224" s="25"/>
      <c r="P224" s="26"/>
      <c r="Q224" s="26"/>
      <c r="R224" s="26"/>
      <c r="S224" s="26"/>
      <c r="T224" s="26"/>
      <c r="U224"/>
      <c r="V224"/>
    </row>
    <row r="225" spans="1:22" s="27" customFormat="1" ht="21.75" customHeight="1">
      <c r="A225" s="20"/>
      <c r="B225" s="46">
        <f t="shared" si="28"/>
        <v>42</v>
      </c>
      <c r="C225" s="71" t="s">
        <v>236</v>
      </c>
      <c r="D225" s="78">
        <v>40519</v>
      </c>
      <c r="E225" s="74"/>
      <c r="F225" s="74"/>
      <c r="G225" s="75">
        <v>3000000</v>
      </c>
      <c r="H225" s="87">
        <f>O149</f>
        <v>1.0486714851377539</v>
      </c>
      <c r="I225" s="44">
        <f t="shared" si="29"/>
        <v>3146014.4554132614</v>
      </c>
      <c r="J225" s="41" t="s">
        <v>101</v>
      </c>
      <c r="K225" s="21"/>
      <c r="L225" s="35"/>
      <c r="M225" s="35"/>
      <c r="N225" s="25"/>
      <c r="O225" s="25"/>
      <c r="P225" s="26"/>
      <c r="Q225" s="26"/>
      <c r="R225" s="26"/>
      <c r="S225" s="26"/>
      <c r="T225" s="26"/>
      <c r="U225"/>
      <c r="V225"/>
    </row>
    <row r="226" spans="1:22" s="27" customFormat="1" ht="21.75" customHeight="1">
      <c r="A226" s="20"/>
      <c r="B226" s="46">
        <f t="shared" si="28"/>
        <v>43</v>
      </c>
      <c r="C226" s="71" t="s">
        <v>237</v>
      </c>
      <c r="D226" s="78">
        <v>40519</v>
      </c>
      <c r="E226" s="74"/>
      <c r="F226" s="74"/>
      <c r="G226" s="75">
        <v>14000000</v>
      </c>
      <c r="H226" s="87">
        <f>O149</f>
        <v>1.0486714851377539</v>
      </c>
      <c r="I226" s="44">
        <f t="shared" si="29"/>
        <v>14681400.791928554</v>
      </c>
      <c r="J226" s="41" t="s">
        <v>101</v>
      </c>
      <c r="K226" s="21"/>
      <c r="L226" s="35"/>
      <c r="M226" s="35"/>
      <c r="N226" s="25"/>
      <c r="O226" s="25"/>
      <c r="P226" s="26"/>
      <c r="Q226" s="26"/>
      <c r="R226" s="26"/>
      <c r="S226" s="26"/>
      <c r="T226" s="26"/>
      <c r="U226"/>
      <c r="V226"/>
    </row>
    <row r="227" spans="1:22" s="27" customFormat="1" ht="21.75" customHeight="1">
      <c r="A227" s="20"/>
      <c r="B227" s="46">
        <f t="shared" si="28"/>
        <v>44</v>
      </c>
      <c r="C227" s="71" t="s">
        <v>238</v>
      </c>
      <c r="D227" s="78">
        <v>40522</v>
      </c>
      <c r="E227" s="74"/>
      <c r="F227" s="74"/>
      <c r="G227" s="75">
        <v>3400000</v>
      </c>
      <c r="H227" s="87">
        <f>O149</f>
        <v>1.0486714851377539</v>
      </c>
      <c r="I227" s="44">
        <f t="shared" si="29"/>
        <v>3565483.049468363</v>
      </c>
      <c r="J227" s="41" t="s">
        <v>101</v>
      </c>
      <c r="K227" s="21"/>
      <c r="L227" s="35"/>
      <c r="M227" s="35"/>
      <c r="N227" s="25"/>
      <c r="O227" s="25"/>
      <c r="P227" s="26"/>
      <c r="Q227" s="26"/>
      <c r="R227" s="26"/>
      <c r="S227" s="26"/>
      <c r="T227" s="26"/>
      <c r="U227"/>
      <c r="V227"/>
    </row>
    <row r="228" spans="1:22" s="27" customFormat="1" ht="21.75" customHeight="1">
      <c r="A228" s="20"/>
      <c r="B228" s="46">
        <f t="shared" si="28"/>
        <v>45</v>
      </c>
      <c r="C228" s="71" t="s">
        <v>239</v>
      </c>
      <c r="D228" s="78">
        <v>40529</v>
      </c>
      <c r="E228" s="74"/>
      <c r="F228" s="74"/>
      <c r="G228" s="75">
        <v>7000000</v>
      </c>
      <c r="H228" s="87">
        <f>O149</f>
        <v>1.0486714851377539</v>
      </c>
      <c r="I228" s="44">
        <f t="shared" si="29"/>
        <v>7340700.395964277</v>
      </c>
      <c r="J228" s="41" t="s">
        <v>101</v>
      </c>
      <c r="K228" s="21"/>
      <c r="L228" s="35"/>
      <c r="M228" s="35"/>
      <c r="N228" s="25"/>
      <c r="O228" s="25"/>
      <c r="P228" s="26"/>
      <c r="Q228" s="26"/>
      <c r="R228" s="26"/>
      <c r="S228" s="26"/>
      <c r="T228" s="26"/>
      <c r="U228"/>
      <c r="V228"/>
    </row>
    <row r="229" spans="1:22" s="27" customFormat="1" ht="21.75" customHeight="1">
      <c r="A229" s="20"/>
      <c r="B229" s="46">
        <f t="shared" si="28"/>
        <v>46</v>
      </c>
      <c r="C229" s="71" t="s">
        <v>240</v>
      </c>
      <c r="D229" s="78">
        <v>40534</v>
      </c>
      <c r="E229" s="74"/>
      <c r="F229" s="74"/>
      <c r="G229" s="75">
        <v>1000000</v>
      </c>
      <c r="H229" s="87">
        <f>O149</f>
        <v>1.0486714851377539</v>
      </c>
      <c r="I229" s="44">
        <f t="shared" si="29"/>
        <v>1048671.485137754</v>
      </c>
      <c r="J229" s="41" t="s">
        <v>101</v>
      </c>
      <c r="K229" s="21"/>
      <c r="L229" s="35"/>
      <c r="M229" s="35"/>
      <c r="N229" s="25"/>
      <c r="O229" s="25"/>
      <c r="P229" s="26"/>
      <c r="Q229" s="26"/>
      <c r="R229" s="26"/>
      <c r="S229" s="26"/>
      <c r="T229" s="26"/>
      <c r="U229"/>
      <c r="V229"/>
    </row>
    <row r="230" spans="1:22" s="27" customFormat="1" ht="21.75" customHeight="1">
      <c r="A230" s="20"/>
      <c r="B230" s="46">
        <f t="shared" si="28"/>
        <v>47</v>
      </c>
      <c r="C230" s="71" t="s">
        <v>241</v>
      </c>
      <c r="D230" s="78">
        <v>40535</v>
      </c>
      <c r="E230" s="74"/>
      <c r="F230" s="74"/>
      <c r="G230" s="75">
        <v>23759471.68</v>
      </c>
      <c r="H230" s="87">
        <f>O149</f>
        <v>1.0486714851377539</v>
      </c>
      <c r="I230" s="44">
        <f t="shared" si="29"/>
        <v>24915880.452754002</v>
      </c>
      <c r="J230" s="41" t="s">
        <v>101</v>
      </c>
      <c r="K230" s="21"/>
      <c r="L230" s="35"/>
      <c r="M230" s="35"/>
      <c r="N230" s="25"/>
      <c r="O230" s="25"/>
      <c r="P230" s="26"/>
      <c r="Q230" s="26"/>
      <c r="R230" s="26"/>
      <c r="S230" s="26"/>
      <c r="T230" s="26"/>
      <c r="U230"/>
      <c r="V230"/>
    </row>
    <row r="231" spans="1:22" s="27" customFormat="1" ht="21.75" customHeight="1">
      <c r="A231" s="20"/>
      <c r="B231" s="46">
        <f t="shared" si="28"/>
        <v>48</v>
      </c>
      <c r="C231" s="71" t="s">
        <v>242</v>
      </c>
      <c r="D231" s="78">
        <v>40535</v>
      </c>
      <c r="E231" s="74"/>
      <c r="F231" s="74"/>
      <c r="G231" s="75">
        <v>34732566</v>
      </c>
      <c r="H231" s="87">
        <f>O149</f>
        <v>1.0486714851377539</v>
      </c>
      <c r="I231" s="44">
        <f t="shared" si="29"/>
        <v>36423051.569865055</v>
      </c>
      <c r="J231" s="41" t="s">
        <v>101</v>
      </c>
      <c r="K231" s="21">
        <f>48-21</f>
        <v>27</v>
      </c>
      <c r="L231" s="35"/>
      <c r="M231" s="35"/>
      <c r="N231" s="25"/>
      <c r="O231" s="25"/>
      <c r="P231" s="26"/>
      <c r="Q231" s="26"/>
      <c r="R231" s="26"/>
      <c r="S231" s="26"/>
      <c r="T231" s="26"/>
      <c r="U231"/>
      <c r="V231"/>
    </row>
    <row r="232" spans="1:22" s="27" customFormat="1" ht="27" customHeight="1">
      <c r="A232" s="20"/>
      <c r="B232" s="20"/>
      <c r="C232" s="53"/>
      <c r="D232" s="680" t="s">
        <v>243</v>
      </c>
      <c r="E232" s="680"/>
      <c r="F232" s="680"/>
      <c r="G232" s="680"/>
      <c r="H232" s="686"/>
      <c r="I232" s="54">
        <f>SUM(I184:I231)</f>
        <v>620361810.8961232</v>
      </c>
      <c r="J232" s="55"/>
      <c r="K232" s="21"/>
      <c r="L232" s="35"/>
      <c r="M232" s="35"/>
      <c r="N232" s="25"/>
      <c r="O232" s="25"/>
      <c r="P232" s="26"/>
      <c r="Q232" s="26"/>
      <c r="R232" s="26"/>
      <c r="S232" s="26"/>
      <c r="T232" s="26"/>
      <c r="U232"/>
      <c r="V232"/>
    </row>
    <row r="233" spans="1:22" s="27" customFormat="1" ht="21.75" customHeight="1">
      <c r="A233" s="20"/>
      <c r="B233" s="46">
        <v>1</v>
      </c>
      <c r="C233" s="71" t="s">
        <v>244</v>
      </c>
      <c r="D233" s="78">
        <v>40549</v>
      </c>
      <c r="E233" s="63"/>
      <c r="F233" s="74"/>
      <c r="G233" s="83" t="s">
        <v>104</v>
      </c>
      <c r="H233" s="87">
        <f>O150</f>
        <v>1.0414852370024372</v>
      </c>
      <c r="I233" s="44">
        <v>0</v>
      </c>
      <c r="J233" s="41" t="s">
        <v>195</v>
      </c>
      <c r="K233" s="21"/>
      <c r="L233" s="35"/>
      <c r="M233" s="35"/>
      <c r="N233" s="25"/>
      <c r="O233" s="25"/>
      <c r="P233" s="26"/>
      <c r="Q233" s="26"/>
      <c r="R233" s="26"/>
      <c r="S233" s="26"/>
      <c r="T233" s="26"/>
      <c r="U233"/>
      <c r="V233"/>
    </row>
    <row r="234" spans="1:22" s="27" customFormat="1" ht="21.75" customHeight="1">
      <c r="A234" s="20"/>
      <c r="B234" s="46">
        <f>B233+1</f>
        <v>2</v>
      </c>
      <c r="C234" s="71" t="s">
        <v>245</v>
      </c>
      <c r="D234" s="78">
        <v>40576</v>
      </c>
      <c r="E234" s="74"/>
      <c r="F234" s="74"/>
      <c r="G234" s="75">
        <v>20000000</v>
      </c>
      <c r="H234" s="87">
        <f>O151</f>
        <v>1.033321993255717</v>
      </c>
      <c r="I234" s="44">
        <f t="shared" si="29"/>
        <v>20666439.86511434</v>
      </c>
      <c r="J234" s="41" t="s">
        <v>195</v>
      </c>
      <c r="K234" s="21"/>
      <c r="L234" s="35"/>
      <c r="M234" s="35"/>
      <c r="N234" s="25"/>
      <c r="O234" s="25"/>
      <c r="P234" s="26"/>
      <c r="Q234" s="26"/>
      <c r="R234" s="26"/>
      <c r="S234" s="26"/>
      <c r="T234" s="26"/>
      <c r="U234"/>
      <c r="V234"/>
    </row>
    <row r="235" spans="1:22" s="27" customFormat="1" ht="21.75" customHeight="1">
      <c r="A235" s="20"/>
      <c r="B235" s="46">
        <f aca="true" t="shared" si="30" ref="B235:B282">B234+1</f>
        <v>3</v>
      </c>
      <c r="C235" s="71" t="s">
        <v>246</v>
      </c>
      <c r="D235" s="78">
        <v>40582</v>
      </c>
      <c r="E235" s="90">
        <v>20000000</v>
      </c>
      <c r="F235" s="74">
        <v>1.71</v>
      </c>
      <c r="G235" s="75">
        <f>E235*F235</f>
        <v>34200000</v>
      </c>
      <c r="H235" s="87">
        <f>O151</f>
        <v>1.033321993255717</v>
      </c>
      <c r="I235" s="44">
        <f t="shared" si="29"/>
        <v>35339612.16934552</v>
      </c>
      <c r="J235" s="41" t="s">
        <v>101</v>
      </c>
      <c r="K235" s="21"/>
      <c r="L235" s="35"/>
      <c r="M235" s="35"/>
      <c r="N235" s="25"/>
      <c r="O235" s="25"/>
      <c r="P235" s="26"/>
      <c r="Q235" s="26"/>
      <c r="R235" s="26"/>
      <c r="S235" s="26"/>
      <c r="T235" s="26"/>
      <c r="U235"/>
      <c r="V235"/>
    </row>
    <row r="236" spans="1:22" s="27" customFormat="1" ht="21.75" customHeight="1">
      <c r="A236" s="20"/>
      <c r="B236" s="46">
        <f t="shared" si="30"/>
        <v>4</v>
      </c>
      <c r="C236" s="71" t="s">
        <v>247</v>
      </c>
      <c r="D236" s="78">
        <v>40589</v>
      </c>
      <c r="E236" s="74"/>
      <c r="F236" s="74"/>
      <c r="G236" s="75">
        <v>969664.71</v>
      </c>
      <c r="H236" s="87">
        <f>O151</f>
        <v>1.033321993255717</v>
      </c>
      <c r="I236" s="44">
        <f t="shared" si="29"/>
        <v>1001975.8709269267</v>
      </c>
      <c r="J236" s="41" t="s">
        <v>101</v>
      </c>
      <c r="K236" s="21"/>
      <c r="L236" s="35"/>
      <c r="M236" s="35"/>
      <c r="N236" s="25"/>
      <c r="O236" s="25"/>
      <c r="P236" s="26"/>
      <c r="Q236" s="26"/>
      <c r="R236" s="26"/>
      <c r="S236" s="26"/>
      <c r="T236" s="26"/>
      <c r="U236"/>
      <c r="V236"/>
    </row>
    <row r="237" spans="1:22" s="27" customFormat="1" ht="21.75" customHeight="1">
      <c r="A237" s="20"/>
      <c r="B237" s="46">
        <f t="shared" si="30"/>
        <v>5</v>
      </c>
      <c r="C237" s="71" t="s">
        <v>248</v>
      </c>
      <c r="D237" s="78">
        <v>40591</v>
      </c>
      <c r="E237" s="74"/>
      <c r="F237" s="74"/>
      <c r="G237" s="75">
        <v>2000000</v>
      </c>
      <c r="H237" s="87">
        <f>O151</f>
        <v>1.033321993255717</v>
      </c>
      <c r="I237" s="44">
        <f t="shared" si="29"/>
        <v>2066643.986511434</v>
      </c>
      <c r="J237" s="41" t="s">
        <v>101</v>
      </c>
      <c r="K237" s="21"/>
      <c r="L237" s="35"/>
      <c r="M237" s="35"/>
      <c r="N237" s="25"/>
      <c r="O237" s="25"/>
      <c r="P237" s="26"/>
      <c r="Q237" s="26"/>
      <c r="R237" s="26"/>
      <c r="S237" s="26"/>
      <c r="T237" s="26"/>
      <c r="U237"/>
      <c r="V237"/>
    </row>
    <row r="238" spans="1:22" s="27" customFormat="1" ht="21.75" customHeight="1">
      <c r="A238" s="20"/>
      <c r="B238" s="46">
        <f t="shared" si="30"/>
        <v>6</v>
      </c>
      <c r="C238" s="71" t="s">
        <v>249</v>
      </c>
      <c r="D238" s="78">
        <v>40605</v>
      </c>
      <c r="E238" s="74"/>
      <c r="F238" s="74"/>
      <c r="G238" s="75">
        <v>280000</v>
      </c>
      <c r="H238" s="87">
        <f>O152</f>
        <v>1.023091082431403</v>
      </c>
      <c r="I238" s="44">
        <f t="shared" si="29"/>
        <v>286465.50308079284</v>
      </c>
      <c r="J238" s="41" t="s">
        <v>101</v>
      </c>
      <c r="K238" s="21"/>
      <c r="L238" s="35"/>
      <c r="M238" s="35"/>
      <c r="N238" s="25"/>
      <c r="O238" s="25"/>
      <c r="P238" s="26"/>
      <c r="Q238" s="26"/>
      <c r="R238" s="26"/>
      <c r="S238" s="26"/>
      <c r="T238" s="26"/>
      <c r="U238"/>
      <c r="V238"/>
    </row>
    <row r="239" spans="1:22" s="27" customFormat="1" ht="21.75" customHeight="1">
      <c r="A239" s="20"/>
      <c r="B239" s="46">
        <f t="shared" si="30"/>
        <v>7</v>
      </c>
      <c r="C239" s="71" t="s">
        <v>250</v>
      </c>
      <c r="D239" s="78">
        <v>40618</v>
      </c>
      <c r="E239" s="63"/>
      <c r="F239" s="74"/>
      <c r="G239" s="83" t="s">
        <v>104</v>
      </c>
      <c r="H239" s="87">
        <f>O152</f>
        <v>1.023091082431403</v>
      </c>
      <c r="I239" s="44">
        <v>0</v>
      </c>
      <c r="J239" s="41" t="s">
        <v>101</v>
      </c>
      <c r="K239" s="21"/>
      <c r="L239" s="35"/>
      <c r="M239" s="35"/>
      <c r="N239" s="25"/>
      <c r="O239" s="25"/>
      <c r="P239" s="26"/>
      <c r="Q239" s="26"/>
      <c r="R239" s="26"/>
      <c r="S239" s="26"/>
      <c r="T239" s="26"/>
      <c r="U239"/>
      <c r="V239"/>
    </row>
    <row r="240" spans="1:22" s="27" customFormat="1" ht="21.75" customHeight="1">
      <c r="A240" s="20"/>
      <c r="B240" s="46">
        <f t="shared" si="30"/>
        <v>8</v>
      </c>
      <c r="C240" s="71" t="s">
        <v>251</v>
      </c>
      <c r="D240" s="78">
        <v>40630</v>
      </c>
      <c r="E240" s="74"/>
      <c r="F240" s="74"/>
      <c r="G240" s="75">
        <v>1534012.11</v>
      </c>
      <c r="H240" s="87">
        <f>O152</f>
        <v>1.023091082431403</v>
      </c>
      <c r="I240" s="44">
        <f t="shared" si="29"/>
        <v>1569434.1100827805</v>
      </c>
      <c r="J240" s="41" t="s">
        <v>101</v>
      </c>
      <c r="K240" s="21"/>
      <c r="L240" s="35"/>
      <c r="M240" s="35"/>
      <c r="N240" s="25"/>
      <c r="O240" s="25"/>
      <c r="P240" s="26"/>
      <c r="Q240" s="26"/>
      <c r="R240" s="26"/>
      <c r="S240" s="26"/>
      <c r="T240" s="26"/>
      <c r="U240"/>
      <c r="V240"/>
    </row>
    <row r="241" spans="1:22" s="27" customFormat="1" ht="21.75" customHeight="1">
      <c r="A241" s="20"/>
      <c r="B241" s="46">
        <f t="shared" si="30"/>
        <v>9</v>
      </c>
      <c r="C241" s="71" t="s">
        <v>252</v>
      </c>
      <c r="D241" s="78">
        <v>40630</v>
      </c>
      <c r="E241" s="74"/>
      <c r="F241" s="74"/>
      <c r="G241" s="75">
        <v>100000000</v>
      </c>
      <c r="H241" s="87">
        <f>O152</f>
        <v>1.023091082431403</v>
      </c>
      <c r="I241" s="44">
        <f t="shared" si="29"/>
        <v>102309108.2431403</v>
      </c>
      <c r="J241" s="41" t="s">
        <v>101</v>
      </c>
      <c r="K241" s="21"/>
      <c r="L241" s="35"/>
      <c r="M241" s="35"/>
      <c r="N241" s="25"/>
      <c r="O241" s="25"/>
      <c r="P241" s="26"/>
      <c r="Q241" s="26"/>
      <c r="R241" s="26"/>
      <c r="S241" s="26"/>
      <c r="T241" s="26"/>
      <c r="U241"/>
      <c r="V241"/>
    </row>
    <row r="242" spans="1:22" s="27" customFormat="1" ht="21.75" customHeight="1">
      <c r="A242" s="20"/>
      <c r="B242" s="46">
        <f t="shared" si="30"/>
        <v>10</v>
      </c>
      <c r="C242" s="71" t="s">
        <v>253</v>
      </c>
      <c r="D242" s="78">
        <v>40632</v>
      </c>
      <c r="E242" s="74"/>
      <c r="F242" s="74"/>
      <c r="G242" s="75">
        <v>41333333.33</v>
      </c>
      <c r="H242" s="87">
        <f>O152</f>
        <v>1.023091082431403</v>
      </c>
      <c r="I242" s="44">
        <f t="shared" si="29"/>
        <v>42287764.73708769</v>
      </c>
      <c r="J242" s="41" t="s">
        <v>101</v>
      </c>
      <c r="K242" s="21"/>
      <c r="L242" s="35"/>
      <c r="M242" s="35"/>
      <c r="N242" s="25"/>
      <c r="O242" s="25"/>
      <c r="P242" s="26"/>
      <c r="Q242" s="26"/>
      <c r="R242" s="26"/>
      <c r="S242" s="26"/>
      <c r="T242" s="26"/>
      <c r="U242"/>
      <c r="V242"/>
    </row>
    <row r="243" spans="1:22" s="27" customFormat="1" ht="21.75" customHeight="1">
      <c r="A243" s="20"/>
      <c r="B243" s="46">
        <f t="shared" si="30"/>
        <v>11</v>
      </c>
      <c r="C243" s="71" t="s">
        <v>254</v>
      </c>
      <c r="D243" s="78">
        <v>40634</v>
      </c>
      <c r="E243" s="74"/>
      <c r="F243" s="74"/>
      <c r="G243" s="75">
        <v>36000000</v>
      </c>
      <c r="H243" s="87">
        <f>O153</f>
        <v>1.0167870030127242</v>
      </c>
      <c r="I243" s="44">
        <f t="shared" si="29"/>
        <v>36604332.10845807</v>
      </c>
      <c r="J243" s="41" t="s">
        <v>101</v>
      </c>
      <c r="K243" s="21"/>
      <c r="L243" s="35"/>
      <c r="M243" s="35"/>
      <c r="N243" s="25"/>
      <c r="O243" s="25"/>
      <c r="P243" s="26"/>
      <c r="Q243" s="26"/>
      <c r="R243" s="26"/>
      <c r="S243" s="26"/>
      <c r="T243" s="26"/>
      <c r="U243"/>
      <c r="V243"/>
    </row>
    <row r="244" spans="1:22" s="27" customFormat="1" ht="21.75" customHeight="1">
      <c r="A244" s="20"/>
      <c r="B244" s="46">
        <f t="shared" si="30"/>
        <v>12</v>
      </c>
      <c r="C244" s="71" t="s">
        <v>255</v>
      </c>
      <c r="D244" s="78">
        <v>40651</v>
      </c>
      <c r="E244" s="74"/>
      <c r="F244" s="74"/>
      <c r="G244" s="75">
        <v>42079381.99</v>
      </c>
      <c r="H244" s="87">
        <f>O153</f>
        <v>1.0167870030127242</v>
      </c>
      <c r="I244" s="44">
        <f t="shared" si="29"/>
        <v>42785768.70223971</v>
      </c>
      <c r="J244" s="41" t="s">
        <v>101</v>
      </c>
      <c r="K244" s="21"/>
      <c r="L244" s="35"/>
      <c r="M244" s="35"/>
      <c r="N244" s="25"/>
      <c r="O244" s="25"/>
      <c r="P244" s="26"/>
      <c r="Q244" s="26"/>
      <c r="R244" s="26"/>
      <c r="S244" s="26"/>
      <c r="T244" s="26"/>
      <c r="U244"/>
      <c r="V244"/>
    </row>
    <row r="245" spans="1:22" s="27" customFormat="1" ht="21.75" customHeight="1">
      <c r="A245" s="20"/>
      <c r="B245" s="46">
        <f t="shared" si="30"/>
        <v>13</v>
      </c>
      <c r="C245" s="71" t="s">
        <v>256</v>
      </c>
      <c r="D245" s="78">
        <v>40669</v>
      </c>
      <c r="E245" s="74"/>
      <c r="F245" s="74"/>
      <c r="G245" s="75">
        <v>300000</v>
      </c>
      <c r="H245" s="87">
        <f>O154</f>
        <v>1.0122319591963407</v>
      </c>
      <c r="I245" s="44">
        <f t="shared" si="29"/>
        <v>303669.5877589022</v>
      </c>
      <c r="J245" s="41" t="s">
        <v>183</v>
      </c>
      <c r="K245" s="21"/>
      <c r="L245" s="35"/>
      <c r="M245" s="35"/>
      <c r="N245" s="25"/>
      <c r="O245" s="25"/>
      <c r="P245" s="26"/>
      <c r="Q245" s="26"/>
      <c r="R245" s="26"/>
      <c r="S245" s="26"/>
      <c r="T245" s="26"/>
      <c r="U245"/>
      <c r="V245"/>
    </row>
    <row r="246" spans="1:22" s="27" customFormat="1" ht="21.75" customHeight="1">
      <c r="A246" s="20"/>
      <c r="B246" s="46">
        <f t="shared" si="30"/>
        <v>14</v>
      </c>
      <c r="C246" s="71" t="s">
        <v>257</v>
      </c>
      <c r="D246" s="78">
        <v>40669</v>
      </c>
      <c r="E246" s="74"/>
      <c r="F246" s="74"/>
      <c r="G246" s="75">
        <v>715000</v>
      </c>
      <c r="H246" s="87">
        <f>O154</f>
        <v>1.0122319591963407</v>
      </c>
      <c r="I246" s="44">
        <f t="shared" si="29"/>
        <v>723745.8508253836</v>
      </c>
      <c r="J246" s="41" t="s">
        <v>183</v>
      </c>
      <c r="K246" s="21"/>
      <c r="L246" s="35"/>
      <c r="M246" s="35"/>
      <c r="N246" s="25"/>
      <c r="O246" s="25"/>
      <c r="P246" s="26"/>
      <c r="Q246" s="26"/>
      <c r="R246" s="26"/>
      <c r="S246" s="26"/>
      <c r="T246" s="26"/>
      <c r="U246"/>
      <c r="V246"/>
    </row>
    <row r="247" spans="1:22" s="27" customFormat="1" ht="21.75" customHeight="1">
      <c r="A247" s="20"/>
      <c r="B247" s="46">
        <f t="shared" si="30"/>
        <v>15</v>
      </c>
      <c r="C247" s="71" t="s">
        <v>258</v>
      </c>
      <c r="D247" s="78">
        <v>40681</v>
      </c>
      <c r="E247" s="74"/>
      <c r="F247" s="74"/>
      <c r="G247" s="75">
        <v>20000000</v>
      </c>
      <c r="H247" s="87">
        <f>O154</f>
        <v>1.0122319591963407</v>
      </c>
      <c r="I247" s="44">
        <f t="shared" si="29"/>
        <v>20244639.183926813</v>
      </c>
      <c r="J247" s="41" t="s">
        <v>101</v>
      </c>
      <c r="K247" s="21"/>
      <c r="L247" s="35"/>
      <c r="M247" s="35"/>
      <c r="N247" s="25"/>
      <c r="O247" s="25"/>
      <c r="P247" s="26"/>
      <c r="Q247" s="26"/>
      <c r="R247" s="26"/>
      <c r="S247" s="26"/>
      <c r="T247" s="26"/>
      <c r="U247"/>
      <c r="V247"/>
    </row>
    <row r="248" spans="1:22" s="27" customFormat="1" ht="21.75" customHeight="1">
      <c r="A248" s="20"/>
      <c r="B248" s="46">
        <f t="shared" si="30"/>
        <v>16</v>
      </c>
      <c r="C248" s="71" t="s">
        <v>259</v>
      </c>
      <c r="D248" s="78">
        <v>40686</v>
      </c>
      <c r="E248" s="74"/>
      <c r="F248" s="74"/>
      <c r="G248" s="75">
        <v>6153261.82</v>
      </c>
      <c r="H248" s="87">
        <f>O154</f>
        <v>1.0122319591963407</v>
      </c>
      <c r="I248" s="44">
        <f t="shared" si="29"/>
        <v>6228528.267506641</v>
      </c>
      <c r="J248" s="41" t="s">
        <v>101</v>
      </c>
      <c r="K248" s="21"/>
      <c r="L248" s="35"/>
      <c r="M248" s="35"/>
      <c r="N248" s="25"/>
      <c r="O248" s="25"/>
      <c r="P248" s="26"/>
      <c r="Q248" s="26"/>
      <c r="R248" s="26"/>
      <c r="S248" s="26"/>
      <c r="T248" s="26"/>
      <c r="U248"/>
      <c r="V248"/>
    </row>
    <row r="249" spans="1:22" s="27" customFormat="1" ht="21.75" customHeight="1">
      <c r="A249" s="20"/>
      <c r="B249" s="46">
        <f t="shared" si="30"/>
        <v>17</v>
      </c>
      <c r="C249" s="71" t="s">
        <v>260</v>
      </c>
      <c r="D249" s="78">
        <v>40686</v>
      </c>
      <c r="E249" s="74"/>
      <c r="F249" s="74"/>
      <c r="G249" s="75">
        <v>1000000</v>
      </c>
      <c r="H249" s="87">
        <f>O154</f>
        <v>1.0122319591963407</v>
      </c>
      <c r="I249" s="44">
        <f t="shared" si="29"/>
        <v>1012231.9591963406</v>
      </c>
      <c r="J249" s="41" t="s">
        <v>101</v>
      </c>
      <c r="K249" s="21"/>
      <c r="L249" s="35"/>
      <c r="M249" s="35"/>
      <c r="N249" s="25"/>
      <c r="O249" s="25"/>
      <c r="P249" s="26"/>
      <c r="Q249" s="26"/>
      <c r="R249" s="26"/>
      <c r="S249" s="26"/>
      <c r="T249" s="26"/>
      <c r="U249"/>
      <c r="V249"/>
    </row>
    <row r="250" spans="1:22" s="27" customFormat="1" ht="21.75" customHeight="1">
      <c r="A250" s="20"/>
      <c r="B250" s="46">
        <f t="shared" si="30"/>
        <v>18</v>
      </c>
      <c r="C250" s="71" t="s">
        <v>261</v>
      </c>
      <c r="D250" s="78">
        <v>40689</v>
      </c>
      <c r="E250" s="74"/>
      <c r="F250" s="74"/>
      <c r="G250" s="75">
        <v>37000000</v>
      </c>
      <c r="H250" s="87">
        <f>O154</f>
        <v>1.0122319591963407</v>
      </c>
      <c r="I250" s="44">
        <f t="shared" si="29"/>
        <v>37452582.4902646</v>
      </c>
      <c r="J250" s="41" t="s">
        <v>101</v>
      </c>
      <c r="K250" s="21"/>
      <c r="L250" s="35"/>
      <c r="M250" s="35"/>
      <c r="N250" s="25"/>
      <c r="O250" s="25"/>
      <c r="P250" s="26"/>
      <c r="Q250" s="26"/>
      <c r="R250" s="26"/>
      <c r="S250" s="26"/>
      <c r="T250" s="26"/>
      <c r="U250"/>
      <c r="V250"/>
    </row>
    <row r="251" spans="1:22" s="27" customFormat="1" ht="21.75" customHeight="1">
      <c r="A251" s="20"/>
      <c r="B251" s="46">
        <f t="shared" si="30"/>
        <v>19</v>
      </c>
      <c r="C251" s="71" t="s">
        <v>262</v>
      </c>
      <c r="D251" s="78">
        <v>40690</v>
      </c>
      <c r="E251" s="74"/>
      <c r="F251" s="74"/>
      <c r="G251" s="75">
        <v>2500000</v>
      </c>
      <c r="H251" s="87">
        <f>O154</f>
        <v>1.0122319591963407</v>
      </c>
      <c r="I251" s="44">
        <f t="shared" si="29"/>
        <v>2530579.8979908517</v>
      </c>
      <c r="J251" s="41" t="s">
        <v>101</v>
      </c>
      <c r="K251" s="21"/>
      <c r="L251" s="35"/>
      <c r="M251" s="35"/>
      <c r="N251" s="25"/>
      <c r="O251" s="25"/>
      <c r="P251" s="26"/>
      <c r="Q251" s="26"/>
      <c r="R251" s="26"/>
      <c r="S251" s="26"/>
      <c r="T251" s="26"/>
      <c r="U251"/>
      <c r="V251"/>
    </row>
    <row r="252" spans="1:22" s="27" customFormat="1" ht="21.75" customHeight="1">
      <c r="A252" s="20"/>
      <c r="B252" s="46">
        <f t="shared" si="30"/>
        <v>20</v>
      </c>
      <c r="C252" s="71" t="s">
        <v>263</v>
      </c>
      <c r="D252" s="78">
        <v>40700</v>
      </c>
      <c r="E252" s="74"/>
      <c r="F252" s="74"/>
      <c r="G252" s="75">
        <v>10000000</v>
      </c>
      <c r="H252" s="87">
        <f>O155</f>
        <v>1.0078979978057758</v>
      </c>
      <c r="I252" s="44">
        <f t="shared" si="29"/>
        <v>10078979.978057759</v>
      </c>
      <c r="J252" s="41" t="s">
        <v>101</v>
      </c>
      <c r="K252" s="21"/>
      <c r="L252" s="35"/>
      <c r="M252" s="35"/>
      <c r="N252" s="25"/>
      <c r="O252" s="25"/>
      <c r="P252" s="26"/>
      <c r="Q252" s="26"/>
      <c r="R252" s="26"/>
      <c r="S252" s="26"/>
      <c r="T252" s="26"/>
      <c r="U252"/>
      <c r="V252"/>
    </row>
    <row r="253" spans="1:22" s="27" customFormat="1" ht="21.75" customHeight="1">
      <c r="A253" s="20"/>
      <c r="B253" s="46">
        <f t="shared" si="30"/>
        <v>21</v>
      </c>
      <c r="C253" s="71" t="s">
        <v>264</v>
      </c>
      <c r="D253" s="78">
        <v>40701</v>
      </c>
      <c r="E253" s="74"/>
      <c r="F253" s="74"/>
      <c r="G253" s="75">
        <v>43798672.54</v>
      </c>
      <c r="H253" s="87">
        <f>O155</f>
        <v>1.0078979978057758</v>
      </c>
      <c r="I253" s="44">
        <f t="shared" si="29"/>
        <v>44144594.359616816</v>
      </c>
      <c r="J253" s="41" t="s">
        <v>101</v>
      </c>
      <c r="K253" s="21"/>
      <c r="L253" s="35"/>
      <c r="M253" s="35"/>
      <c r="N253" s="25"/>
      <c r="O253" s="25"/>
      <c r="P253" s="26"/>
      <c r="Q253" s="26"/>
      <c r="R253" s="26"/>
      <c r="S253" s="26"/>
      <c r="T253" s="26"/>
      <c r="U253"/>
      <c r="V253"/>
    </row>
    <row r="254" spans="1:22" s="27" customFormat="1" ht="21.75" customHeight="1">
      <c r="A254" s="20"/>
      <c r="B254" s="46">
        <f t="shared" si="30"/>
        <v>22</v>
      </c>
      <c r="C254" s="71" t="s">
        <v>265</v>
      </c>
      <c r="D254" s="78">
        <v>40704</v>
      </c>
      <c r="E254" s="74"/>
      <c r="F254" s="74"/>
      <c r="G254" s="75">
        <v>8000000</v>
      </c>
      <c r="H254" s="87">
        <f>O155</f>
        <v>1.0078979978057758</v>
      </c>
      <c r="I254" s="44">
        <f t="shared" si="29"/>
        <v>8063183.982446207</v>
      </c>
      <c r="J254" s="41" t="s">
        <v>195</v>
      </c>
      <c r="K254" s="21"/>
      <c r="L254" s="35"/>
      <c r="M254" s="35"/>
      <c r="N254" s="25"/>
      <c r="O254" s="25"/>
      <c r="P254" s="26"/>
      <c r="Q254" s="26"/>
      <c r="R254" s="26"/>
      <c r="S254" s="26"/>
      <c r="T254" s="26"/>
      <c r="U254"/>
      <c r="V254"/>
    </row>
    <row r="255" spans="1:22" s="27" customFormat="1" ht="21.75" customHeight="1">
      <c r="A255" s="20"/>
      <c r="B255" s="46">
        <f t="shared" si="30"/>
        <v>23</v>
      </c>
      <c r="C255" s="71" t="s">
        <v>266</v>
      </c>
      <c r="D255" s="78">
        <v>40708</v>
      </c>
      <c r="E255" s="74"/>
      <c r="F255" s="74"/>
      <c r="G255" s="75">
        <v>160000</v>
      </c>
      <c r="H255" s="87">
        <f>O155</f>
        <v>1.0078979978057758</v>
      </c>
      <c r="I255" s="44">
        <f t="shared" si="29"/>
        <v>161263.67964892412</v>
      </c>
      <c r="J255" s="41" t="s">
        <v>101</v>
      </c>
      <c r="K255" s="21"/>
      <c r="L255" s="35"/>
      <c r="M255" s="35"/>
      <c r="N255" s="25"/>
      <c r="O255" s="25"/>
      <c r="P255" s="26"/>
      <c r="Q255" s="26"/>
      <c r="R255" s="26"/>
      <c r="S255" s="26"/>
      <c r="T255" s="26"/>
      <c r="U255"/>
      <c r="V255"/>
    </row>
    <row r="256" spans="1:22" s="27" customFormat="1" ht="21.75" customHeight="1">
      <c r="A256" s="20"/>
      <c r="B256" s="46">
        <f t="shared" si="30"/>
        <v>24</v>
      </c>
      <c r="C256" s="71" t="s">
        <v>267</v>
      </c>
      <c r="D256" s="78">
        <v>40709</v>
      </c>
      <c r="E256" s="74"/>
      <c r="F256" s="74"/>
      <c r="G256" s="75">
        <v>32000000</v>
      </c>
      <c r="H256" s="87">
        <f>O155</f>
        <v>1.0078979978057758</v>
      </c>
      <c r="I256" s="44">
        <f t="shared" si="29"/>
        <v>32252735.929784827</v>
      </c>
      <c r="J256" s="41" t="s">
        <v>101</v>
      </c>
      <c r="K256" s="21"/>
      <c r="L256" s="35"/>
      <c r="M256" s="35"/>
      <c r="N256" s="25"/>
      <c r="O256" s="25"/>
      <c r="P256" s="26"/>
      <c r="Q256" s="26"/>
      <c r="R256" s="26"/>
      <c r="S256" s="26"/>
      <c r="T256" s="26"/>
      <c r="U256"/>
      <c r="V256"/>
    </row>
    <row r="257" spans="1:22" s="27" customFormat="1" ht="21.75" customHeight="1">
      <c r="A257" s="20"/>
      <c r="B257" s="46">
        <f t="shared" si="30"/>
        <v>25</v>
      </c>
      <c r="C257" s="71" t="s">
        <v>268</v>
      </c>
      <c r="D257" s="78" t="s">
        <v>269</v>
      </c>
      <c r="E257" s="74"/>
      <c r="F257" s="74"/>
      <c r="G257" s="75">
        <v>792404.92</v>
      </c>
      <c r="H257" s="87">
        <f>O155</f>
        <v>1.0078979978057758</v>
      </c>
      <c r="I257" s="44">
        <f t="shared" si="29"/>
        <v>798663.332319446</v>
      </c>
      <c r="J257" s="41" t="s">
        <v>101</v>
      </c>
      <c r="K257" s="21"/>
      <c r="L257" s="35"/>
      <c r="M257" s="35"/>
      <c r="N257" s="25"/>
      <c r="O257" s="25"/>
      <c r="P257" s="26"/>
      <c r="Q257" s="26"/>
      <c r="R257" s="26"/>
      <c r="S257" s="26"/>
      <c r="T257" s="26"/>
      <c r="U257"/>
      <c r="V257"/>
    </row>
    <row r="258" spans="1:22" s="27" customFormat="1" ht="21.75" customHeight="1">
      <c r="A258" s="20"/>
      <c r="B258" s="46">
        <f t="shared" si="30"/>
        <v>26</v>
      </c>
      <c r="C258" s="71" t="s">
        <v>270</v>
      </c>
      <c r="D258" s="78">
        <v>40714</v>
      </c>
      <c r="E258" s="74"/>
      <c r="F258" s="74"/>
      <c r="G258" s="75">
        <v>49897784.35</v>
      </c>
      <c r="H258" s="87">
        <f>O155</f>
        <v>1.0078979978057758</v>
      </c>
      <c r="I258" s="44">
        <f t="shared" si="29"/>
        <v>50291876.94130938</v>
      </c>
      <c r="J258" s="41" t="s">
        <v>101</v>
      </c>
      <c r="K258" s="21"/>
      <c r="L258" s="35"/>
      <c r="M258" s="35"/>
      <c r="N258" s="25"/>
      <c r="O258" s="25"/>
      <c r="P258" s="26"/>
      <c r="Q258" s="26"/>
      <c r="R258" s="26"/>
      <c r="S258" s="26"/>
      <c r="T258" s="26"/>
      <c r="U258"/>
      <c r="V258"/>
    </row>
    <row r="259" spans="1:22" s="27" customFormat="1" ht="21.75" customHeight="1">
      <c r="A259" s="20"/>
      <c r="B259" s="46">
        <f t="shared" si="30"/>
        <v>27</v>
      </c>
      <c r="C259" s="71" t="s">
        <v>271</v>
      </c>
      <c r="D259" s="78">
        <v>40738</v>
      </c>
      <c r="E259" s="74"/>
      <c r="F259" s="74"/>
      <c r="G259" s="72">
        <v>100000</v>
      </c>
      <c r="H259" s="87">
        <f>O156</f>
        <v>1.00971548568</v>
      </c>
      <c r="I259" s="44">
        <f t="shared" si="29"/>
        <v>100971.548568</v>
      </c>
      <c r="J259" s="41" t="s">
        <v>101</v>
      </c>
      <c r="K259" s="21"/>
      <c r="L259" s="35"/>
      <c r="M259" s="35"/>
      <c r="N259" s="25"/>
      <c r="O259" s="25"/>
      <c r="P259" s="26"/>
      <c r="Q259" s="26"/>
      <c r="R259" s="26"/>
      <c r="S259" s="26"/>
      <c r="T259" s="26"/>
      <c r="U259"/>
      <c r="V259"/>
    </row>
    <row r="260" spans="1:22" s="27" customFormat="1" ht="21.75" customHeight="1">
      <c r="A260" s="20"/>
      <c r="B260" s="46">
        <f t="shared" si="30"/>
        <v>28</v>
      </c>
      <c r="C260" s="71" t="s">
        <v>272</v>
      </c>
      <c r="D260" s="78">
        <v>40715</v>
      </c>
      <c r="E260" s="74"/>
      <c r="F260" s="74"/>
      <c r="G260" s="75">
        <v>1204453.35</v>
      </c>
      <c r="H260" s="87">
        <f>O155</f>
        <v>1.0078979978057758</v>
      </c>
      <c r="I260" s="44">
        <f t="shared" si="29"/>
        <v>1213966.1199154595</v>
      </c>
      <c r="J260" s="41" t="s">
        <v>101</v>
      </c>
      <c r="K260" s="21"/>
      <c r="L260" s="35"/>
      <c r="M260" s="35"/>
      <c r="N260" s="25"/>
      <c r="O260" s="25"/>
      <c r="P260" s="26"/>
      <c r="Q260" s="26"/>
      <c r="R260" s="26"/>
      <c r="S260" s="26"/>
      <c r="T260" s="26"/>
      <c r="U260"/>
      <c r="V260"/>
    </row>
    <row r="261" spans="1:22" s="27" customFormat="1" ht="21.75" customHeight="1">
      <c r="A261" s="20"/>
      <c r="B261" s="46">
        <f t="shared" si="30"/>
        <v>29</v>
      </c>
      <c r="C261" s="71" t="s">
        <v>273</v>
      </c>
      <c r="D261" s="78">
        <v>40724</v>
      </c>
      <c r="E261" s="74"/>
      <c r="F261" s="74"/>
      <c r="G261" s="75">
        <v>38400426.43</v>
      </c>
      <c r="H261" s="87">
        <f>O155</f>
        <v>1.0078979978057758</v>
      </c>
      <c r="I261" s="44">
        <f t="shared" si="29"/>
        <v>38703712.913684994</v>
      </c>
      <c r="J261" s="41" t="s">
        <v>101</v>
      </c>
      <c r="K261" s="21"/>
      <c r="L261" s="35"/>
      <c r="M261" s="35"/>
      <c r="N261" s="25"/>
      <c r="O261" s="25"/>
      <c r="P261" s="26"/>
      <c r="Q261" s="26"/>
      <c r="R261" s="26"/>
      <c r="S261" s="26"/>
      <c r="T261" s="26"/>
      <c r="U261"/>
      <c r="V261"/>
    </row>
    <row r="262" spans="1:22" s="27" customFormat="1" ht="21.75" customHeight="1">
      <c r="A262" s="20"/>
      <c r="B262" s="46">
        <f t="shared" si="30"/>
        <v>30</v>
      </c>
      <c r="C262" s="71" t="s">
        <v>274</v>
      </c>
      <c r="D262" s="78">
        <v>40724</v>
      </c>
      <c r="E262" s="74"/>
      <c r="F262" s="74"/>
      <c r="G262" s="75">
        <v>25000000</v>
      </c>
      <c r="H262" s="87">
        <f>O155</f>
        <v>1.0078979978057758</v>
      </c>
      <c r="I262" s="44">
        <f t="shared" si="29"/>
        <v>25197449.945144396</v>
      </c>
      <c r="J262" s="41" t="s">
        <v>101</v>
      </c>
      <c r="K262" s="21"/>
      <c r="L262" s="35"/>
      <c r="M262" s="35"/>
      <c r="N262" s="25"/>
      <c r="O262" s="25"/>
      <c r="P262" s="26"/>
      <c r="Q262" s="26"/>
      <c r="R262" s="26"/>
      <c r="S262" s="26"/>
      <c r="T262" s="26"/>
      <c r="U262"/>
      <c r="V262"/>
    </row>
    <row r="263" spans="1:22" s="27" customFormat="1" ht="21.75" customHeight="1">
      <c r="A263" s="20"/>
      <c r="B263" s="46">
        <f t="shared" si="30"/>
        <v>31</v>
      </c>
      <c r="C263" s="71" t="s">
        <v>275</v>
      </c>
      <c r="D263" s="78">
        <v>40745</v>
      </c>
      <c r="E263" s="74"/>
      <c r="F263" s="74"/>
      <c r="G263" s="72">
        <v>100000</v>
      </c>
      <c r="H263" s="87">
        <f>O156</f>
        <v>1.00971548568</v>
      </c>
      <c r="I263" s="44">
        <f t="shared" si="29"/>
        <v>100971.548568</v>
      </c>
      <c r="J263" s="41" t="s">
        <v>183</v>
      </c>
      <c r="K263" s="21"/>
      <c r="L263" s="35"/>
      <c r="M263" s="35"/>
      <c r="N263" s="25"/>
      <c r="O263" s="25"/>
      <c r="P263" s="26"/>
      <c r="Q263" s="26"/>
      <c r="R263" s="26"/>
      <c r="S263" s="26"/>
      <c r="T263" s="26"/>
      <c r="U263"/>
      <c r="V263"/>
    </row>
    <row r="264" spans="1:22" s="27" customFormat="1" ht="21.75" customHeight="1">
      <c r="A264" s="20"/>
      <c r="B264" s="46">
        <f t="shared" si="30"/>
        <v>32</v>
      </c>
      <c r="C264" s="71" t="s">
        <v>276</v>
      </c>
      <c r="D264" s="78">
        <v>40757</v>
      </c>
      <c r="E264" s="63"/>
      <c r="F264" s="74"/>
      <c r="G264" s="83" t="s">
        <v>104</v>
      </c>
      <c r="H264" s="87">
        <f>O157</f>
        <v>1.0109286</v>
      </c>
      <c r="I264" s="44">
        <v>0</v>
      </c>
      <c r="J264" s="41" t="s">
        <v>101</v>
      </c>
      <c r="K264" s="21"/>
      <c r="L264" s="35"/>
      <c r="M264" s="35"/>
      <c r="N264" s="25"/>
      <c r="O264" s="25"/>
      <c r="P264" s="26"/>
      <c r="Q264" s="26"/>
      <c r="R264" s="26"/>
      <c r="S264" s="26"/>
      <c r="T264" s="26"/>
      <c r="U264"/>
      <c r="V264"/>
    </row>
    <row r="265" spans="1:22" s="27" customFormat="1" ht="21.75" customHeight="1">
      <c r="A265" s="20"/>
      <c r="B265" s="46">
        <f t="shared" si="30"/>
        <v>33</v>
      </c>
      <c r="C265" s="71" t="s">
        <v>277</v>
      </c>
      <c r="D265" s="91"/>
      <c r="E265" s="63"/>
      <c r="F265" s="74"/>
      <c r="G265" s="83" t="s">
        <v>104</v>
      </c>
      <c r="H265" s="87">
        <f>O157</f>
        <v>1.0109286</v>
      </c>
      <c r="I265" s="44">
        <v>0</v>
      </c>
      <c r="J265" s="41"/>
      <c r="K265" s="21"/>
      <c r="L265" s="35"/>
      <c r="M265" s="35"/>
      <c r="N265" s="25"/>
      <c r="O265" s="25"/>
      <c r="P265" s="26"/>
      <c r="Q265" s="26"/>
      <c r="R265" s="26"/>
      <c r="S265" s="26"/>
      <c r="T265" s="26"/>
      <c r="U265"/>
      <c r="V265"/>
    </row>
    <row r="266" spans="1:22" s="27" customFormat="1" ht="21.75" customHeight="1">
      <c r="A266" s="20"/>
      <c r="B266" s="46">
        <f t="shared" si="30"/>
        <v>34</v>
      </c>
      <c r="C266" s="71" t="s">
        <v>278</v>
      </c>
      <c r="D266" s="78">
        <v>40770</v>
      </c>
      <c r="E266" s="74"/>
      <c r="F266" s="74"/>
      <c r="G266" s="75">
        <v>1007067.15</v>
      </c>
      <c r="H266" s="87">
        <f>O157</f>
        <v>1.0109286</v>
      </c>
      <c r="I266" s="44">
        <f t="shared" si="29"/>
        <v>1018072.98405549</v>
      </c>
      <c r="J266" s="41" t="s">
        <v>101</v>
      </c>
      <c r="K266" s="21"/>
      <c r="L266" s="35"/>
      <c r="M266" s="35"/>
      <c r="N266" s="25"/>
      <c r="O266" s="25"/>
      <c r="P266" s="26"/>
      <c r="Q266" s="26"/>
      <c r="R266" s="26"/>
      <c r="S266" s="26"/>
      <c r="T266" s="26"/>
      <c r="U266"/>
      <c r="V266"/>
    </row>
    <row r="267" spans="1:22" s="27" customFormat="1" ht="21.75" customHeight="1">
      <c r="A267" s="20"/>
      <c r="B267" s="46">
        <f t="shared" si="30"/>
        <v>35</v>
      </c>
      <c r="C267" s="71" t="s">
        <v>279</v>
      </c>
      <c r="D267" s="78">
        <v>40779</v>
      </c>
      <c r="E267" s="74"/>
      <c r="F267" s="74"/>
      <c r="G267" s="72">
        <v>2266781.6</v>
      </c>
      <c r="H267" s="87">
        <f>O157</f>
        <v>1.0109286</v>
      </c>
      <c r="I267" s="44">
        <f t="shared" si="29"/>
        <v>2291554.34939376</v>
      </c>
      <c r="J267" s="41" t="s">
        <v>101</v>
      </c>
      <c r="K267" s="21"/>
      <c r="L267" s="35"/>
      <c r="M267" s="35"/>
      <c r="N267" s="25"/>
      <c r="O267" s="25"/>
      <c r="P267" s="26"/>
      <c r="Q267" s="26"/>
      <c r="R267" s="26"/>
      <c r="S267" s="26"/>
      <c r="T267" s="26"/>
      <c r="U267"/>
      <c r="V267"/>
    </row>
    <row r="268" spans="1:22" s="27" customFormat="1" ht="21.75" customHeight="1">
      <c r="A268" s="20"/>
      <c r="B268" s="46">
        <f t="shared" si="30"/>
        <v>36</v>
      </c>
      <c r="C268" s="71" t="s">
        <v>280</v>
      </c>
      <c r="D268" s="78">
        <v>40786</v>
      </c>
      <c r="E268" s="74"/>
      <c r="F268" s="74"/>
      <c r="G268" s="72">
        <v>7500000</v>
      </c>
      <c r="H268" s="87">
        <f>O157</f>
        <v>1.0109286</v>
      </c>
      <c r="I268" s="44">
        <f t="shared" si="29"/>
        <v>7581964.5</v>
      </c>
      <c r="J268" s="41" t="s">
        <v>101</v>
      </c>
      <c r="K268" s="21"/>
      <c r="L268" s="35"/>
      <c r="M268" s="35"/>
      <c r="N268" s="25"/>
      <c r="O268" s="25"/>
      <c r="P268" s="26"/>
      <c r="Q268" s="26"/>
      <c r="R268" s="26"/>
      <c r="S268" s="26"/>
      <c r="T268" s="26"/>
      <c r="U268"/>
      <c r="V268"/>
    </row>
    <row r="269" spans="1:22" s="27" customFormat="1" ht="21.75" customHeight="1">
      <c r="A269" s="20"/>
      <c r="B269" s="46">
        <f t="shared" si="30"/>
        <v>37</v>
      </c>
      <c r="C269" s="71" t="s">
        <v>281</v>
      </c>
      <c r="D269" s="78">
        <v>40787</v>
      </c>
      <c r="E269" s="74"/>
      <c r="F269" s="74"/>
      <c r="G269" s="75">
        <v>24264419.1</v>
      </c>
      <c r="H269" s="87">
        <f>O158</f>
        <v>1.0065</v>
      </c>
      <c r="I269" s="44">
        <f t="shared" si="29"/>
        <v>24422137.82415</v>
      </c>
      <c r="J269" s="41" t="s">
        <v>101</v>
      </c>
      <c r="K269" s="21"/>
      <c r="L269" s="35"/>
      <c r="M269" s="35"/>
      <c r="N269" s="25"/>
      <c r="O269" s="25"/>
      <c r="P269" s="26"/>
      <c r="Q269" s="26"/>
      <c r="R269" s="26"/>
      <c r="S269" s="26"/>
      <c r="T269" s="26"/>
      <c r="U269"/>
      <c r="V269"/>
    </row>
    <row r="270" spans="1:22" s="27" customFormat="1" ht="21.75" customHeight="1">
      <c r="A270" s="20"/>
      <c r="B270" s="46">
        <f t="shared" si="30"/>
        <v>38</v>
      </c>
      <c r="C270" s="71" t="s">
        <v>282</v>
      </c>
      <c r="D270" s="78">
        <v>40788</v>
      </c>
      <c r="E270" s="74"/>
      <c r="F270" s="74"/>
      <c r="G270" s="72">
        <v>87295083.56</v>
      </c>
      <c r="H270" s="87">
        <f>O158</f>
        <v>1.0065</v>
      </c>
      <c r="I270" s="44">
        <f t="shared" si="29"/>
        <v>87862501.60314</v>
      </c>
      <c r="J270" s="41" t="s">
        <v>101</v>
      </c>
      <c r="K270" s="21"/>
      <c r="L270" s="35"/>
      <c r="M270" s="35"/>
      <c r="N270" s="25"/>
      <c r="O270" s="25"/>
      <c r="P270" s="26"/>
      <c r="Q270" s="26"/>
      <c r="R270" s="26"/>
      <c r="S270" s="26"/>
      <c r="T270" s="26"/>
      <c r="U270"/>
      <c r="V270"/>
    </row>
    <row r="271" spans="1:22" s="27" customFormat="1" ht="21.75" customHeight="1">
      <c r="A271" s="20"/>
      <c r="B271" s="46">
        <f t="shared" si="30"/>
        <v>39</v>
      </c>
      <c r="C271" s="71" t="s">
        <v>283</v>
      </c>
      <c r="D271" s="78">
        <v>40788</v>
      </c>
      <c r="E271" s="63"/>
      <c r="F271" s="74"/>
      <c r="G271" s="44" t="s">
        <v>104</v>
      </c>
      <c r="H271" s="87">
        <f>O158</f>
        <v>1.0065</v>
      </c>
      <c r="I271" s="44">
        <v>0</v>
      </c>
      <c r="J271" s="41" t="s">
        <v>101</v>
      </c>
      <c r="K271" s="21"/>
      <c r="L271" s="35"/>
      <c r="M271" s="35"/>
      <c r="N271" s="25"/>
      <c r="O271" s="25"/>
      <c r="P271" s="26"/>
      <c r="Q271" s="26"/>
      <c r="R271" s="26"/>
      <c r="S271" s="26"/>
      <c r="T271" s="26"/>
      <c r="U271"/>
      <c r="V271"/>
    </row>
    <row r="272" spans="1:22" s="27" customFormat="1" ht="21.75" customHeight="1">
      <c r="A272" s="20"/>
      <c r="B272" s="46">
        <f t="shared" si="30"/>
        <v>40</v>
      </c>
      <c r="C272" s="71" t="s">
        <v>284</v>
      </c>
      <c r="D272" s="78">
        <v>40792</v>
      </c>
      <c r="E272" s="74"/>
      <c r="F272" s="74"/>
      <c r="G272" s="72">
        <v>1000000</v>
      </c>
      <c r="H272" s="87">
        <f>O158</f>
        <v>1.0065</v>
      </c>
      <c r="I272" s="44">
        <f t="shared" si="29"/>
        <v>1006500</v>
      </c>
      <c r="J272" s="41" t="s">
        <v>101</v>
      </c>
      <c r="K272" s="21"/>
      <c r="L272" s="35"/>
      <c r="M272" s="35"/>
      <c r="N272" s="25"/>
      <c r="O272" s="25"/>
      <c r="P272" s="26"/>
      <c r="Q272" s="26"/>
      <c r="R272" s="26"/>
      <c r="S272" s="26"/>
      <c r="T272" s="26"/>
      <c r="U272"/>
      <c r="V272"/>
    </row>
    <row r="273" spans="1:22" s="27" customFormat="1" ht="21.75" customHeight="1">
      <c r="A273" s="20"/>
      <c r="B273" s="46">
        <f t="shared" si="30"/>
        <v>41</v>
      </c>
      <c r="C273" s="92" t="s">
        <v>285</v>
      </c>
      <c r="D273" s="78">
        <v>40813</v>
      </c>
      <c r="E273" s="63"/>
      <c r="F273" s="74"/>
      <c r="G273" s="83" t="s">
        <v>104</v>
      </c>
      <c r="H273" s="87">
        <f>O158</f>
        <v>1.0065</v>
      </c>
      <c r="I273" s="44">
        <v>0</v>
      </c>
      <c r="J273" s="41" t="s">
        <v>101</v>
      </c>
      <c r="K273" s="21"/>
      <c r="L273" s="35"/>
      <c r="M273" s="35"/>
      <c r="N273" s="25"/>
      <c r="O273" s="25"/>
      <c r="P273" s="26"/>
      <c r="Q273" s="26"/>
      <c r="R273" s="26"/>
      <c r="S273" s="26"/>
      <c r="T273" s="26"/>
      <c r="U273"/>
      <c r="V273"/>
    </row>
    <row r="274" spans="1:22" s="27" customFormat="1" ht="21.75" customHeight="1">
      <c r="A274" s="20"/>
      <c r="B274" s="46">
        <f t="shared" si="30"/>
        <v>42</v>
      </c>
      <c r="C274" s="71" t="s">
        <v>286</v>
      </c>
      <c r="D274" s="78">
        <v>40819</v>
      </c>
      <c r="E274" s="74"/>
      <c r="F274" s="74"/>
      <c r="G274" s="75">
        <v>3266000</v>
      </c>
      <c r="H274" s="87">
        <f>O159</f>
        <v>1</v>
      </c>
      <c r="I274" s="44">
        <f t="shared" si="29"/>
        <v>3266000</v>
      </c>
      <c r="J274" s="41" t="s">
        <v>101</v>
      </c>
      <c r="K274" s="21"/>
      <c r="L274" s="35"/>
      <c r="M274" s="35"/>
      <c r="N274" s="25"/>
      <c r="O274" s="25"/>
      <c r="P274" s="26"/>
      <c r="Q274" s="26"/>
      <c r="R274" s="26"/>
      <c r="S274" s="26"/>
      <c r="T274" s="26"/>
      <c r="U274"/>
      <c r="V274"/>
    </row>
    <row r="275" spans="1:22" s="27" customFormat="1" ht="21.75" customHeight="1">
      <c r="A275" s="20"/>
      <c r="B275" s="46">
        <f t="shared" si="30"/>
        <v>43</v>
      </c>
      <c r="C275" s="71" t="s">
        <v>287</v>
      </c>
      <c r="D275" s="78">
        <v>40822</v>
      </c>
      <c r="E275" s="74"/>
      <c r="F275" s="74"/>
      <c r="G275" s="75">
        <v>100752.64</v>
      </c>
      <c r="H275" s="87">
        <f>H274</f>
        <v>1</v>
      </c>
      <c r="I275" s="44">
        <f t="shared" si="29"/>
        <v>100752.64</v>
      </c>
      <c r="J275" s="41" t="s">
        <v>101</v>
      </c>
      <c r="K275" s="21"/>
      <c r="L275" s="35"/>
      <c r="M275" s="35"/>
      <c r="N275" s="25"/>
      <c r="O275" s="25"/>
      <c r="P275" s="26"/>
      <c r="Q275" s="26"/>
      <c r="R275" s="26"/>
      <c r="S275" s="26"/>
      <c r="T275" s="26"/>
      <c r="U275"/>
      <c r="V275"/>
    </row>
    <row r="276" spans="1:22" s="27" customFormat="1" ht="21.75" customHeight="1">
      <c r="A276" s="20"/>
      <c r="B276" s="46">
        <f t="shared" si="30"/>
        <v>44</v>
      </c>
      <c r="C276" s="71" t="s">
        <v>288</v>
      </c>
      <c r="D276" s="78">
        <v>40823</v>
      </c>
      <c r="E276" s="63"/>
      <c r="F276" s="74"/>
      <c r="G276" s="83" t="s">
        <v>104</v>
      </c>
      <c r="H276" s="87">
        <f aca="true" t="shared" si="31" ref="H276:H282">H275</f>
        <v>1</v>
      </c>
      <c r="I276" s="44">
        <v>0</v>
      </c>
      <c r="J276" s="41" t="s">
        <v>101</v>
      </c>
      <c r="K276" s="21"/>
      <c r="L276" s="35"/>
      <c r="M276" s="35"/>
      <c r="N276" s="25"/>
      <c r="O276" s="25"/>
      <c r="P276" s="26"/>
      <c r="Q276" s="26"/>
      <c r="R276" s="26"/>
      <c r="S276" s="26"/>
      <c r="T276" s="26"/>
      <c r="U276"/>
      <c r="V276"/>
    </row>
    <row r="277" spans="1:22" s="27" customFormat="1" ht="21.75" customHeight="1">
      <c r="A277" s="20"/>
      <c r="B277" s="46">
        <f t="shared" si="30"/>
        <v>45</v>
      </c>
      <c r="C277" s="71" t="s">
        <v>289</v>
      </c>
      <c r="D277" s="78">
        <v>40823</v>
      </c>
      <c r="E277" s="74"/>
      <c r="F277" s="74"/>
      <c r="G277" s="75">
        <v>100000</v>
      </c>
      <c r="H277" s="87">
        <f t="shared" si="31"/>
        <v>1</v>
      </c>
      <c r="I277" s="44">
        <f t="shared" si="29"/>
        <v>100000</v>
      </c>
      <c r="J277" s="41" t="s">
        <v>101</v>
      </c>
      <c r="K277" s="21"/>
      <c r="L277" s="35"/>
      <c r="M277" s="35"/>
      <c r="N277" s="25"/>
      <c r="O277" s="25"/>
      <c r="P277" s="26"/>
      <c r="Q277" s="26"/>
      <c r="R277" s="26"/>
      <c r="S277" s="26"/>
      <c r="T277" s="26"/>
      <c r="U277"/>
      <c r="V277"/>
    </row>
    <row r="278" spans="1:22" s="27" customFormat="1" ht="21.75" customHeight="1">
      <c r="A278" s="20"/>
      <c r="B278" s="46">
        <f t="shared" si="30"/>
        <v>46</v>
      </c>
      <c r="C278" s="71" t="s">
        <v>290</v>
      </c>
      <c r="D278" s="78">
        <v>40826</v>
      </c>
      <c r="E278" s="74"/>
      <c r="F278" s="74"/>
      <c r="G278" s="75">
        <v>100000</v>
      </c>
      <c r="H278" s="87">
        <f t="shared" si="31"/>
        <v>1</v>
      </c>
      <c r="I278" s="44">
        <f t="shared" si="29"/>
        <v>100000</v>
      </c>
      <c r="J278" s="41" t="s">
        <v>101</v>
      </c>
      <c r="K278" s="21"/>
      <c r="L278" s="35"/>
      <c r="M278" s="35"/>
      <c r="N278" s="25"/>
      <c r="O278" s="25"/>
      <c r="P278" s="26"/>
      <c r="Q278" s="26"/>
      <c r="R278" s="26"/>
      <c r="S278" s="26"/>
      <c r="T278" s="26"/>
      <c r="U278"/>
      <c r="V278"/>
    </row>
    <row r="279" spans="1:22" s="27" customFormat="1" ht="21.75" customHeight="1">
      <c r="A279" s="20"/>
      <c r="B279" s="46">
        <f t="shared" si="30"/>
        <v>47</v>
      </c>
      <c r="C279" s="71" t="s">
        <v>291</v>
      </c>
      <c r="D279" s="78">
        <v>40832</v>
      </c>
      <c r="E279" s="74"/>
      <c r="F279" s="74"/>
      <c r="G279" s="75">
        <v>4956481.35</v>
      </c>
      <c r="H279" s="87">
        <f t="shared" si="31"/>
        <v>1</v>
      </c>
      <c r="I279" s="44">
        <f t="shared" si="29"/>
        <v>4956481.35</v>
      </c>
      <c r="J279" s="41" t="s">
        <v>101</v>
      </c>
      <c r="K279" s="21"/>
      <c r="L279" s="35"/>
      <c r="M279" s="35"/>
      <c r="N279" s="25"/>
      <c r="O279" s="25"/>
      <c r="P279" s="26"/>
      <c r="Q279" s="26"/>
      <c r="R279" s="26"/>
      <c r="S279" s="26"/>
      <c r="T279" s="26"/>
      <c r="U279"/>
      <c r="V279"/>
    </row>
    <row r="280" spans="1:22" s="27" customFormat="1" ht="21.75" customHeight="1">
      <c r="A280" s="20"/>
      <c r="B280" s="46">
        <f t="shared" si="30"/>
        <v>48</v>
      </c>
      <c r="C280" s="71" t="s">
        <v>292</v>
      </c>
      <c r="D280" s="78">
        <v>40830</v>
      </c>
      <c r="E280" s="74"/>
      <c r="F280" s="74"/>
      <c r="G280" s="75">
        <v>2000000</v>
      </c>
      <c r="H280" s="87">
        <f t="shared" si="31"/>
        <v>1</v>
      </c>
      <c r="I280" s="44">
        <f t="shared" si="29"/>
        <v>2000000</v>
      </c>
      <c r="J280" s="41" t="s">
        <v>101</v>
      </c>
      <c r="K280" s="21"/>
      <c r="L280" s="35"/>
      <c r="M280" s="35"/>
      <c r="N280" s="25"/>
      <c r="O280" s="25"/>
      <c r="P280" s="26"/>
      <c r="Q280" s="26"/>
      <c r="R280" s="26"/>
      <c r="S280" s="26"/>
      <c r="T280" s="26"/>
      <c r="U280"/>
      <c r="V280"/>
    </row>
    <row r="281" spans="1:22" s="27" customFormat="1" ht="21.75" customHeight="1">
      <c r="A281" s="20"/>
      <c r="B281" s="46">
        <f t="shared" si="30"/>
        <v>49</v>
      </c>
      <c r="C281" s="71" t="s">
        <v>293</v>
      </c>
      <c r="D281" s="78">
        <v>40830</v>
      </c>
      <c r="E281" s="74"/>
      <c r="F281" s="74"/>
      <c r="G281" s="75">
        <v>13033224</v>
      </c>
      <c r="H281" s="87">
        <f t="shared" si="31"/>
        <v>1</v>
      </c>
      <c r="I281" s="44">
        <f t="shared" si="29"/>
        <v>13033224</v>
      </c>
      <c r="J281" s="41" t="s">
        <v>101</v>
      </c>
      <c r="K281" s="21"/>
      <c r="L281" s="35"/>
      <c r="M281" s="35"/>
      <c r="N281" s="25"/>
      <c r="O281" s="25"/>
      <c r="P281" s="26"/>
      <c r="Q281" s="26"/>
      <c r="R281" s="26"/>
      <c r="S281" s="26"/>
      <c r="T281" s="26"/>
      <c r="U281"/>
      <c r="V281"/>
    </row>
    <row r="282" spans="1:22" s="27" customFormat="1" ht="21.75" customHeight="1">
      <c r="A282" s="20"/>
      <c r="B282" s="46">
        <f t="shared" si="30"/>
        <v>50</v>
      </c>
      <c r="C282" s="71" t="s">
        <v>294</v>
      </c>
      <c r="D282" s="78">
        <v>40835</v>
      </c>
      <c r="E282" s="74"/>
      <c r="F282" s="74"/>
      <c r="G282" s="75">
        <v>297882.8</v>
      </c>
      <c r="H282" s="87">
        <f t="shared" si="31"/>
        <v>1</v>
      </c>
      <c r="I282" s="44">
        <f t="shared" si="29"/>
        <v>297882.8</v>
      </c>
      <c r="J282" s="41" t="s">
        <v>101</v>
      </c>
      <c r="K282" s="21"/>
      <c r="L282" s="35"/>
      <c r="M282" s="35"/>
      <c r="N282" s="25"/>
      <c r="O282" s="25"/>
      <c r="P282" s="26"/>
      <c r="Q282" s="26"/>
      <c r="R282" s="26"/>
      <c r="S282" s="26"/>
      <c r="T282" s="26"/>
      <c r="U282"/>
      <c r="V282"/>
    </row>
    <row r="283" spans="1:22" s="27" customFormat="1" ht="27" customHeight="1">
      <c r="A283" s="20"/>
      <c r="B283" s="20"/>
      <c r="C283" s="93"/>
      <c r="D283" s="680" t="s">
        <v>295</v>
      </c>
      <c r="E283" s="681"/>
      <c r="F283" s="681"/>
      <c r="G283" s="681"/>
      <c r="H283" s="682"/>
      <c r="I283" s="54">
        <f>SUM(I233:I282)</f>
        <v>712558964.8632605</v>
      </c>
      <c r="J283"/>
      <c r="K283" s="21"/>
      <c r="L283" s="35"/>
      <c r="M283" s="35"/>
      <c r="N283" s="25"/>
      <c r="O283" s="25"/>
      <c r="P283" s="26"/>
      <c r="Q283" s="26"/>
      <c r="R283" s="26"/>
      <c r="S283" s="26"/>
      <c r="T283" s="26"/>
      <c r="U283"/>
      <c r="V283"/>
    </row>
    <row r="284" spans="1:22" s="27" customFormat="1" ht="27" customHeight="1">
      <c r="A284" s="20"/>
      <c r="B284" s="20"/>
      <c r="C284" s="683" t="s">
        <v>296</v>
      </c>
      <c r="D284" s="684"/>
      <c r="E284" s="684"/>
      <c r="F284" s="684"/>
      <c r="G284" s="684"/>
      <c r="H284" s="685"/>
      <c r="I284" s="94">
        <f>SUM(I283,I232,I183,I133,I105,I86,I64,I50,I38,I32,I20,I18,I12)</f>
        <v>8648461508.51144</v>
      </c>
      <c r="J284"/>
      <c r="K284" s="21"/>
      <c r="L284" s="35"/>
      <c r="M284" s="35"/>
      <c r="N284" s="25"/>
      <c r="O284" s="25"/>
      <c r="P284" s="26"/>
      <c r="Q284" s="26"/>
      <c r="R284" s="26"/>
      <c r="S284" s="26"/>
      <c r="T284" s="26"/>
      <c r="U284"/>
      <c r="V284"/>
    </row>
    <row r="285" spans="1:22" s="27" customFormat="1" ht="21.75" customHeight="1">
      <c r="A285" s="20"/>
      <c r="B285" s="20"/>
      <c r="D285" s="95"/>
      <c r="F285" s="96"/>
      <c r="G285" s="96"/>
      <c r="H285" s="97"/>
      <c r="I285" s="96"/>
      <c r="J285" s="35"/>
      <c r="K285" s="21"/>
      <c r="L285" s="35"/>
      <c r="M285" s="35"/>
      <c r="N285" s="25"/>
      <c r="O285" s="25"/>
      <c r="P285" s="26"/>
      <c r="Q285" s="26"/>
      <c r="R285" s="26"/>
      <c r="S285" s="26"/>
      <c r="T285" s="26"/>
      <c r="U285"/>
      <c r="V285"/>
    </row>
    <row r="286" spans="1:22" s="27" customFormat="1" ht="21.75" customHeight="1">
      <c r="A286" s="20"/>
      <c r="B286" s="20"/>
      <c r="D286" s="95"/>
      <c r="F286" s="96"/>
      <c r="G286" s="96"/>
      <c r="H286" s="97"/>
      <c r="I286" s="96"/>
      <c r="J286" s="35"/>
      <c r="K286" s="21"/>
      <c r="L286" s="35"/>
      <c r="M286" s="35"/>
      <c r="N286" s="25"/>
      <c r="O286" s="25"/>
      <c r="P286" s="26"/>
      <c r="Q286" s="26"/>
      <c r="R286" s="26"/>
      <c r="S286" s="26"/>
      <c r="T286" s="26"/>
      <c r="U286"/>
      <c r="V286"/>
    </row>
    <row r="287" spans="1:22" s="27" customFormat="1" ht="21.75" customHeight="1">
      <c r="A287" s="20"/>
      <c r="B287" s="20"/>
      <c r="D287" s="95"/>
      <c r="F287" s="96"/>
      <c r="G287" s="96"/>
      <c r="H287" s="97"/>
      <c r="I287" s="96"/>
      <c r="J287" s="35"/>
      <c r="K287" s="21"/>
      <c r="L287" s="35"/>
      <c r="M287" s="35"/>
      <c r="N287" s="25"/>
      <c r="O287" s="25"/>
      <c r="P287" s="26"/>
      <c r="Q287" s="26"/>
      <c r="R287" s="26"/>
      <c r="S287" s="26"/>
      <c r="T287" s="26"/>
      <c r="U287"/>
      <c r="V287"/>
    </row>
  </sheetData>
  <sheetProtection/>
  <mergeCells count="16">
    <mergeCell ref="D20:H20"/>
    <mergeCell ref="D32:H32"/>
    <mergeCell ref="D183:H183"/>
    <mergeCell ref="D232:H232"/>
    <mergeCell ref="C1:J1"/>
    <mergeCell ref="C2:I2"/>
    <mergeCell ref="D12:H12"/>
    <mergeCell ref="D18:H18"/>
    <mergeCell ref="D283:H283"/>
    <mergeCell ref="C284:H284"/>
    <mergeCell ref="D38:H38"/>
    <mergeCell ref="D50:H50"/>
    <mergeCell ref="D64:H64"/>
    <mergeCell ref="D86:H86"/>
    <mergeCell ref="D105:H105"/>
    <mergeCell ref="D133:H133"/>
  </mergeCells>
  <conditionalFormatting sqref="L146:N159 L144:L145 M139:N145 J144 G266:G270 G277:G282 G240:G263 G272 E203:F203 E235 G193:G194 G274:G275 E195 G234:G238 G197:G198 G200:G201 G203:G204 G206:G208 G210:G217 G219 G225:G231 D233:D264 D266:D282 D193:D231 J159 J161 J168:J169 D75:D76 D66:D67 D78 D82 D84:D85 J35 D44:D45 J39:J49 J51:J63 J65:J85 J87:J104 J106:J132 J184:J207 J172:J182">
    <cfRule type="containsBlanks" priority="25" dxfId="0" stopIfTrue="1">
      <formula>LEN(TRIM(D35))=0</formula>
    </cfRule>
  </conditionalFormatting>
  <printOptions horizontalCentered="1"/>
  <pageMargins left="0.5118110236220472" right="0.5118110236220472" top="1.1811023622047245" bottom="1.1811023622047245" header="0.31496062992125984" footer="0.31496062992125984"/>
  <pageSetup orientation="portrait" paperSize="9" r:id="rId1"/>
  <headerFooter>
    <oddHeader>&amp;L&amp;"-,Itálico" 
ABEL NICOLAU DOS SANTOS
Economista – CRE 17.535-8&amp;R&amp;"-,Itálico"&amp;12CÁLCULOS FINANCEIROS
PARECERES,  LAUDOS,
EXECUÇÃO DE SENTENÇA</oddHeader>
    <oddFooter>&amp;C&amp;P/&amp;N&amp;R&amp;"-,Itálico"R Brigadeiro Jordão 435 – CEP 04210-000 - Ipiranga SP         
Fone 9391-7385 – 2061-4795 - abelnicolau@ig.com.br</oddFooter>
  </headerFooter>
</worksheet>
</file>

<file path=xl/worksheets/sheet8.xml><?xml version="1.0" encoding="utf-8"?>
<worksheet xmlns="http://schemas.openxmlformats.org/spreadsheetml/2006/main" xmlns:r="http://schemas.openxmlformats.org/officeDocument/2006/relationships">
  <dimension ref="A2:O28"/>
  <sheetViews>
    <sheetView zoomScalePageLayoutView="0" workbookViewId="0" topLeftCell="A1">
      <selection activeCell="C20" sqref="C20"/>
    </sheetView>
  </sheetViews>
  <sheetFormatPr defaultColWidth="9.140625" defaultRowHeight="12.75"/>
  <cols>
    <col min="1" max="1" width="11.7109375" style="5" customWidth="1"/>
    <col min="2" max="2" width="12.421875" style="5" customWidth="1"/>
    <col min="3" max="3" width="9.7109375" style="5" customWidth="1"/>
    <col min="4" max="8" width="9.140625" style="5" customWidth="1"/>
    <col min="9" max="9" width="8.8515625" style="0" customWidth="1"/>
    <col min="10" max="10" width="9.140625" style="5" customWidth="1"/>
    <col min="11" max="11" width="11.57421875" style="5" customWidth="1"/>
    <col min="12" max="12" width="11.00390625" style="5" customWidth="1"/>
    <col min="13" max="13" width="10.57421875" style="5" customWidth="1"/>
    <col min="14" max="14" width="8.00390625" style="5" bestFit="1" customWidth="1"/>
    <col min="15" max="15" width="8.421875" style="5" bestFit="1" customWidth="1"/>
    <col min="16" max="16384" width="9.140625" style="5" customWidth="1"/>
  </cols>
  <sheetData>
    <row r="2" spans="3:13" ht="12.75">
      <c r="C2" s="200" t="s">
        <v>542</v>
      </c>
      <c r="D2" s="196"/>
      <c r="E2" s="699" t="s">
        <v>541</v>
      </c>
      <c r="F2" s="700"/>
      <c r="G2" s="700"/>
      <c r="H2" s="701"/>
      <c r="M2" s="5" t="s">
        <v>556</v>
      </c>
    </row>
    <row r="3" spans="2:15" ht="12.75">
      <c r="B3" s="201"/>
      <c r="C3" s="202"/>
      <c r="D3" s="203"/>
      <c r="E3" s="702" t="s">
        <v>545</v>
      </c>
      <c r="F3" s="703"/>
      <c r="G3" s="704" t="s">
        <v>539</v>
      </c>
      <c r="H3" s="705"/>
      <c r="J3" s="230"/>
      <c r="K3" s="231"/>
      <c r="N3" s="201" t="s">
        <v>547</v>
      </c>
      <c r="O3" s="201" t="s">
        <v>555</v>
      </c>
    </row>
    <row r="4" spans="1:15" ht="12.75">
      <c r="A4" s="706" t="s">
        <v>544</v>
      </c>
      <c r="B4" s="707"/>
      <c r="C4" s="699" t="s">
        <v>543</v>
      </c>
      <c r="D4" s="701"/>
      <c r="E4" s="699" t="s">
        <v>543</v>
      </c>
      <c r="F4" s="701"/>
      <c r="G4" s="699" t="s">
        <v>543</v>
      </c>
      <c r="H4" s="701"/>
      <c r="J4" s="232" t="s">
        <v>538</v>
      </c>
      <c r="K4" s="232" t="s">
        <v>539</v>
      </c>
      <c r="L4" s="232" t="s">
        <v>536</v>
      </c>
      <c r="M4" s="233" t="s">
        <v>546</v>
      </c>
      <c r="N4" s="255">
        <f>500/1.71</f>
        <v>292.39766081871346</v>
      </c>
      <c r="O4" s="234" t="s">
        <v>535</v>
      </c>
    </row>
    <row r="5" spans="1:15" ht="18.75" customHeight="1">
      <c r="A5" s="204"/>
      <c r="B5" s="205">
        <v>50000</v>
      </c>
      <c r="C5" s="206">
        <v>3000</v>
      </c>
      <c r="D5" s="207"/>
      <c r="E5" s="208">
        <f>B5*F5</f>
        <v>2700</v>
      </c>
      <c r="F5" s="209">
        <f>6%*0.9</f>
        <v>0.054</v>
      </c>
      <c r="G5" s="210">
        <f>H5*B5</f>
        <v>8100</v>
      </c>
      <c r="H5" s="211">
        <v>0.162</v>
      </c>
      <c r="J5" s="235">
        <f>(B5)*F5</f>
        <v>2700</v>
      </c>
      <c r="K5" s="236">
        <f>H5*B5</f>
        <v>8100</v>
      </c>
      <c r="L5" s="237">
        <f>(J5+K5)/2</f>
        <v>5400</v>
      </c>
      <c r="M5" s="238">
        <f>L5/$N$4</f>
        <v>18.468</v>
      </c>
      <c r="N5" s="233"/>
      <c r="O5" s="234">
        <v>2</v>
      </c>
    </row>
    <row r="6" spans="1:15" ht="18.75" customHeight="1">
      <c r="A6" s="212">
        <v>50001</v>
      </c>
      <c r="B6" s="213">
        <v>100000</v>
      </c>
      <c r="C6" s="212">
        <v>3000</v>
      </c>
      <c r="D6" s="214">
        <v>0.0473</v>
      </c>
      <c r="E6" s="212">
        <f>J5</f>
        <v>2700</v>
      </c>
      <c r="F6" s="215">
        <v>0.0239</v>
      </c>
      <c r="G6" s="216">
        <f>K5</f>
        <v>8100</v>
      </c>
      <c r="H6" s="217">
        <v>0.122</v>
      </c>
      <c r="J6" s="235">
        <f aca="true" t="shared" si="0" ref="J6:J18">((B6-B5)*F6)+E6</f>
        <v>3895</v>
      </c>
      <c r="K6" s="235">
        <f aca="true" t="shared" si="1" ref="K6:K18">((B6-B5)*H6)+G6</f>
        <v>14200</v>
      </c>
      <c r="L6" s="237">
        <f aca="true" t="shared" si="2" ref="L6:L18">(J6+K6)/2</f>
        <v>9047.5</v>
      </c>
      <c r="M6" s="238">
        <f aca="true" t="shared" si="3" ref="M6:M18">L6/$N$4</f>
        <v>30.942449999999997</v>
      </c>
      <c r="N6" s="233"/>
      <c r="O6" s="234">
        <v>6</v>
      </c>
    </row>
    <row r="7" spans="1:15" ht="18.75" customHeight="1">
      <c r="A7" s="218">
        <v>100001</v>
      </c>
      <c r="B7" s="219">
        <v>200000</v>
      </c>
      <c r="C7" s="218">
        <f>C6+(B6-B5)*D6</f>
        <v>5365</v>
      </c>
      <c r="D7" s="220">
        <v>0.0253</v>
      </c>
      <c r="E7" s="218">
        <f>J6</f>
        <v>3895</v>
      </c>
      <c r="F7" s="221">
        <v>0.0225</v>
      </c>
      <c r="G7" s="222">
        <f>K6</f>
        <v>14200</v>
      </c>
      <c r="H7" s="223">
        <v>0.0891</v>
      </c>
      <c r="J7" s="235">
        <f t="shared" si="0"/>
        <v>6145</v>
      </c>
      <c r="K7" s="235">
        <f t="shared" si="1"/>
        <v>23110</v>
      </c>
      <c r="L7" s="237">
        <f t="shared" si="2"/>
        <v>14627.5</v>
      </c>
      <c r="M7" s="238">
        <f t="shared" si="3"/>
        <v>50.02605</v>
      </c>
      <c r="N7" s="239"/>
      <c r="O7" s="240">
        <v>8</v>
      </c>
    </row>
    <row r="8" spans="1:15" ht="18.75" customHeight="1">
      <c r="A8" s="212">
        <v>200001</v>
      </c>
      <c r="B8" s="213">
        <v>500000</v>
      </c>
      <c r="C8" s="212">
        <f aca="true" t="shared" si="4" ref="C8:C18">C7+(B7-B6)*D7</f>
        <v>7895</v>
      </c>
      <c r="D8" s="224">
        <v>0.0209</v>
      </c>
      <c r="E8" s="212">
        <f>J7</f>
        <v>6145</v>
      </c>
      <c r="F8" s="215">
        <v>0.0123</v>
      </c>
      <c r="G8" s="216">
        <f aca="true" t="shared" si="5" ref="G8:G18">K7</f>
        <v>23110</v>
      </c>
      <c r="H8" s="217">
        <v>0.0615</v>
      </c>
      <c r="J8" s="235">
        <f t="shared" si="0"/>
        <v>9835</v>
      </c>
      <c r="K8" s="235">
        <f t="shared" si="1"/>
        <v>41560</v>
      </c>
      <c r="L8" s="237">
        <f t="shared" si="2"/>
        <v>25697.5</v>
      </c>
      <c r="M8" s="238">
        <f t="shared" si="3"/>
        <v>87.88544999999999</v>
      </c>
      <c r="N8" s="241"/>
      <c r="O8" s="240">
        <v>10</v>
      </c>
    </row>
    <row r="9" spans="1:15" ht="18.75" customHeight="1">
      <c r="A9" s="218">
        <v>500001</v>
      </c>
      <c r="B9" s="219">
        <v>1000000</v>
      </c>
      <c r="C9" s="218">
        <f t="shared" si="4"/>
        <v>14165</v>
      </c>
      <c r="D9" s="220">
        <v>0.0151</v>
      </c>
      <c r="E9" s="218">
        <f aca="true" t="shared" si="6" ref="E9:E18">J8</f>
        <v>9835</v>
      </c>
      <c r="F9" s="221">
        <v>0.0086</v>
      </c>
      <c r="G9" s="222">
        <f t="shared" si="5"/>
        <v>41560</v>
      </c>
      <c r="H9" s="223">
        <v>0.04028</v>
      </c>
      <c r="J9" s="235">
        <f t="shared" si="0"/>
        <v>14135</v>
      </c>
      <c r="K9" s="235">
        <f t="shared" si="1"/>
        <v>61700</v>
      </c>
      <c r="L9" s="237">
        <f t="shared" si="2"/>
        <v>37917.5</v>
      </c>
      <c r="M9" s="238">
        <f t="shared" si="3"/>
        <v>129.67785</v>
      </c>
      <c r="N9" s="233"/>
      <c r="O9" s="240">
        <v>14</v>
      </c>
    </row>
    <row r="10" spans="1:15" ht="18.75" customHeight="1">
      <c r="A10" s="212">
        <v>1000001</v>
      </c>
      <c r="B10" s="213">
        <v>2000000</v>
      </c>
      <c r="C10" s="212">
        <f t="shared" si="4"/>
        <v>21715</v>
      </c>
      <c r="D10" s="224">
        <v>0.0095</v>
      </c>
      <c r="E10" s="212">
        <f t="shared" si="6"/>
        <v>14135</v>
      </c>
      <c r="F10" s="215">
        <v>0.0063</v>
      </c>
      <c r="G10" s="216">
        <f t="shared" si="5"/>
        <v>61700</v>
      </c>
      <c r="H10" s="217">
        <v>0.03604</v>
      </c>
      <c r="J10" s="235">
        <f t="shared" si="0"/>
        <v>20435</v>
      </c>
      <c r="K10" s="235">
        <f t="shared" si="1"/>
        <v>97740</v>
      </c>
      <c r="L10" s="237">
        <f t="shared" si="2"/>
        <v>59087.5</v>
      </c>
      <c r="M10" s="238">
        <f t="shared" si="3"/>
        <v>202.07925</v>
      </c>
      <c r="N10" s="233"/>
      <c r="O10" s="240">
        <v>84</v>
      </c>
    </row>
    <row r="11" spans="1:15" ht="18.75" customHeight="1">
      <c r="A11" s="218">
        <v>2000001</v>
      </c>
      <c r="B11" s="219">
        <v>5000000</v>
      </c>
      <c r="C11" s="218">
        <f t="shared" si="4"/>
        <v>31215</v>
      </c>
      <c r="D11" s="220">
        <v>0.0046</v>
      </c>
      <c r="E11" s="218">
        <f t="shared" si="6"/>
        <v>20435</v>
      </c>
      <c r="F11" s="221">
        <v>0.0034</v>
      </c>
      <c r="G11" s="222">
        <f t="shared" si="5"/>
        <v>97740</v>
      </c>
      <c r="H11" s="223">
        <v>0.0125</v>
      </c>
      <c r="J11" s="235">
        <f t="shared" si="0"/>
        <v>30635</v>
      </c>
      <c r="K11" s="235">
        <f t="shared" si="1"/>
        <v>135240</v>
      </c>
      <c r="L11" s="237">
        <f t="shared" si="2"/>
        <v>82937.5</v>
      </c>
      <c r="M11" s="238">
        <f t="shared" si="3"/>
        <v>283.64625</v>
      </c>
      <c r="N11" s="233"/>
      <c r="O11" s="240">
        <v>26</v>
      </c>
    </row>
    <row r="12" spans="1:15" ht="18.75" customHeight="1">
      <c r="A12" s="212">
        <v>5000001</v>
      </c>
      <c r="B12" s="213">
        <v>10000000</v>
      </c>
      <c r="C12" s="212">
        <f t="shared" si="4"/>
        <v>45015</v>
      </c>
      <c r="D12" s="224">
        <v>0.0025</v>
      </c>
      <c r="E12" s="212">
        <f t="shared" si="6"/>
        <v>30635</v>
      </c>
      <c r="F12" s="215">
        <v>0.0012</v>
      </c>
      <c r="G12" s="216">
        <f t="shared" si="5"/>
        <v>135240</v>
      </c>
      <c r="H12" s="217">
        <v>0.0082</v>
      </c>
      <c r="J12" s="235">
        <f t="shared" si="0"/>
        <v>36635</v>
      </c>
      <c r="K12" s="235">
        <f t="shared" si="1"/>
        <v>176240</v>
      </c>
      <c r="L12" s="237">
        <f t="shared" si="2"/>
        <v>106437.5</v>
      </c>
      <c r="M12" s="238">
        <f t="shared" si="3"/>
        <v>364.01625</v>
      </c>
      <c r="N12" s="233"/>
      <c r="O12" s="240">
        <v>18</v>
      </c>
    </row>
    <row r="13" spans="1:15" ht="18.75" customHeight="1">
      <c r="A13" s="218">
        <v>10000001</v>
      </c>
      <c r="B13" s="219">
        <v>30000000</v>
      </c>
      <c r="C13" s="218">
        <f t="shared" si="4"/>
        <v>57515</v>
      </c>
      <c r="D13" s="220">
        <v>0.001</v>
      </c>
      <c r="E13" s="218">
        <f t="shared" si="6"/>
        <v>36635</v>
      </c>
      <c r="F13" s="221">
        <v>0.00058</v>
      </c>
      <c r="G13" s="222">
        <f t="shared" si="5"/>
        <v>176240</v>
      </c>
      <c r="H13" s="223">
        <v>0.0022</v>
      </c>
      <c r="J13" s="235">
        <f t="shared" si="0"/>
        <v>48235</v>
      </c>
      <c r="K13" s="235">
        <f t="shared" si="1"/>
        <v>220240</v>
      </c>
      <c r="L13" s="237">
        <f t="shared" si="2"/>
        <v>134237.5</v>
      </c>
      <c r="M13" s="238">
        <f t="shared" si="3"/>
        <v>459.09225</v>
      </c>
      <c r="N13" s="233"/>
      <c r="O13" s="240">
        <v>34</v>
      </c>
    </row>
    <row r="14" spans="1:15" ht="18.75" customHeight="1">
      <c r="A14" s="212">
        <v>30000001</v>
      </c>
      <c r="B14" s="213">
        <v>50000000</v>
      </c>
      <c r="C14" s="212">
        <f t="shared" si="4"/>
        <v>77515</v>
      </c>
      <c r="D14" s="224">
        <v>0.0009</v>
      </c>
      <c r="E14" s="212">
        <f t="shared" si="6"/>
        <v>48235</v>
      </c>
      <c r="F14" s="215">
        <v>0.00053</v>
      </c>
      <c r="G14" s="216">
        <f t="shared" si="5"/>
        <v>220240</v>
      </c>
      <c r="H14" s="217">
        <v>0.0021</v>
      </c>
      <c r="J14" s="235">
        <f t="shared" si="0"/>
        <v>58835</v>
      </c>
      <c r="K14" s="235">
        <f t="shared" si="1"/>
        <v>262240</v>
      </c>
      <c r="L14" s="237">
        <f t="shared" si="2"/>
        <v>160537.5</v>
      </c>
      <c r="M14" s="238">
        <f t="shared" si="3"/>
        <v>549.03825</v>
      </c>
      <c r="N14" s="233"/>
      <c r="O14" s="240">
        <v>4</v>
      </c>
    </row>
    <row r="15" spans="1:15" ht="18.75" customHeight="1">
      <c r="A15" s="218">
        <v>50000001</v>
      </c>
      <c r="B15" s="219">
        <v>80000000</v>
      </c>
      <c r="C15" s="218">
        <f t="shared" si="4"/>
        <v>95515</v>
      </c>
      <c r="D15" s="220">
        <v>0.0001</v>
      </c>
      <c r="E15" s="218">
        <f t="shared" si="6"/>
        <v>58835</v>
      </c>
      <c r="F15" s="221">
        <v>0.0003</v>
      </c>
      <c r="G15" s="222">
        <f t="shared" si="5"/>
        <v>262240</v>
      </c>
      <c r="H15" s="223">
        <v>0.0014</v>
      </c>
      <c r="J15" s="235">
        <f t="shared" si="0"/>
        <v>67835</v>
      </c>
      <c r="K15" s="235">
        <f t="shared" si="1"/>
        <v>304240</v>
      </c>
      <c r="L15" s="237">
        <f t="shared" si="2"/>
        <v>186037.5</v>
      </c>
      <c r="M15" s="238">
        <f t="shared" si="3"/>
        <v>636.24825</v>
      </c>
      <c r="N15" s="233"/>
      <c r="O15" s="240">
        <v>8</v>
      </c>
    </row>
    <row r="16" spans="1:15" ht="18.75" customHeight="1">
      <c r="A16" s="212">
        <v>80000001</v>
      </c>
      <c r="B16" s="213">
        <v>100000000</v>
      </c>
      <c r="C16" s="212">
        <f t="shared" si="4"/>
        <v>98515</v>
      </c>
      <c r="D16" s="224">
        <v>3.5E-05</v>
      </c>
      <c r="E16" s="212">
        <f t="shared" si="6"/>
        <v>67835</v>
      </c>
      <c r="F16" s="215">
        <v>0.0002</v>
      </c>
      <c r="G16" s="216">
        <f t="shared" si="5"/>
        <v>304240</v>
      </c>
      <c r="H16" s="217">
        <v>0.0011</v>
      </c>
      <c r="J16" s="235">
        <f t="shared" si="0"/>
        <v>71835</v>
      </c>
      <c r="K16" s="235">
        <f t="shared" si="1"/>
        <v>326240</v>
      </c>
      <c r="L16" s="237">
        <f t="shared" si="2"/>
        <v>199037.5</v>
      </c>
      <c r="M16" s="238">
        <f t="shared" si="3"/>
        <v>680.70825</v>
      </c>
      <c r="N16" s="233"/>
      <c r="O16" s="240">
        <v>1</v>
      </c>
    </row>
    <row r="17" spans="1:15" ht="18.75" customHeight="1">
      <c r="A17" s="218">
        <v>100000001</v>
      </c>
      <c r="B17" s="219">
        <v>500000000</v>
      </c>
      <c r="C17" s="218">
        <f t="shared" si="4"/>
        <v>99215</v>
      </c>
      <c r="D17" s="220">
        <v>3.5E-05</v>
      </c>
      <c r="E17" s="218">
        <f t="shared" si="6"/>
        <v>71835</v>
      </c>
      <c r="F17" s="221">
        <v>0.0001</v>
      </c>
      <c r="G17" s="222">
        <f t="shared" si="5"/>
        <v>326240</v>
      </c>
      <c r="H17" s="223">
        <v>0.0005</v>
      </c>
      <c r="J17" s="235">
        <f t="shared" si="0"/>
        <v>111835</v>
      </c>
      <c r="K17" s="235">
        <f t="shared" si="1"/>
        <v>526240</v>
      </c>
      <c r="L17" s="237">
        <f t="shared" si="2"/>
        <v>319037.5</v>
      </c>
      <c r="M17" s="238">
        <f t="shared" si="3"/>
        <v>1091.10825</v>
      </c>
      <c r="N17" s="233"/>
      <c r="O17" s="240">
        <v>1</v>
      </c>
    </row>
    <row r="18" spans="1:15" ht="18.75" customHeight="1">
      <c r="A18" s="202" t="s">
        <v>537</v>
      </c>
      <c r="B18" s="225"/>
      <c r="C18" s="202">
        <f t="shared" si="4"/>
        <v>113215</v>
      </c>
      <c r="D18" s="226"/>
      <c r="E18" s="202">
        <f t="shared" si="6"/>
        <v>111835</v>
      </c>
      <c r="F18" s="227">
        <v>9E-05</v>
      </c>
      <c r="G18" s="228">
        <f t="shared" si="5"/>
        <v>526240</v>
      </c>
      <c r="H18" s="229">
        <v>0.0004</v>
      </c>
      <c r="J18" s="235">
        <f t="shared" si="0"/>
        <v>66835</v>
      </c>
      <c r="K18" s="235">
        <f t="shared" si="1"/>
        <v>326240</v>
      </c>
      <c r="L18" s="237">
        <f t="shared" si="2"/>
        <v>196537.5</v>
      </c>
      <c r="M18" s="238">
        <f t="shared" si="3"/>
        <v>672.15825</v>
      </c>
      <c r="N18" s="233"/>
      <c r="O18" s="240">
        <v>1</v>
      </c>
    </row>
    <row r="23" spans="1:7" ht="18" customHeight="1">
      <c r="A23" s="693" t="s">
        <v>548</v>
      </c>
      <c r="B23" s="694"/>
      <c r="C23" s="694"/>
      <c r="D23" s="694"/>
      <c r="E23" s="694"/>
      <c r="F23" s="694"/>
      <c r="G23" s="695"/>
    </row>
    <row r="24" spans="1:7" ht="18" customHeight="1">
      <c r="A24" s="242"/>
      <c r="B24" s="696" t="s">
        <v>552</v>
      </c>
      <c r="C24" s="697"/>
      <c r="D24" s="698"/>
      <c r="E24" s="696" t="s">
        <v>551</v>
      </c>
      <c r="F24" s="697"/>
      <c r="G24" s="698"/>
    </row>
    <row r="25" spans="1:7" ht="18" customHeight="1">
      <c r="A25" s="199" t="s">
        <v>554</v>
      </c>
      <c r="B25" s="197" t="s">
        <v>549</v>
      </c>
      <c r="C25" s="256" t="s">
        <v>550</v>
      </c>
      <c r="D25" s="198" t="s">
        <v>553</v>
      </c>
      <c r="E25" s="197" t="s">
        <v>549</v>
      </c>
      <c r="F25" s="256" t="s">
        <v>550</v>
      </c>
      <c r="G25" s="198" t="s">
        <v>553</v>
      </c>
    </row>
    <row r="26" spans="1:8" ht="18" customHeight="1">
      <c r="A26" s="243">
        <f>B9</f>
        <v>1000000</v>
      </c>
      <c r="B26" s="244">
        <f>C10</f>
        <v>21715</v>
      </c>
      <c r="C26" s="257">
        <f>G10</f>
        <v>61700</v>
      </c>
      <c r="D26" s="245">
        <f>SUM(B26:C26)</f>
        <v>83415</v>
      </c>
      <c r="E26" s="246">
        <v>21715</v>
      </c>
      <c r="F26" s="260">
        <v>64130</v>
      </c>
      <c r="G26" s="245">
        <f>SUM(E26:F26)</f>
        <v>85845</v>
      </c>
      <c r="H26" s="5">
        <f>D26/G26</f>
        <v>0.9716931679189237</v>
      </c>
    </row>
    <row r="27" spans="1:8" ht="18" customHeight="1">
      <c r="A27" s="247">
        <v>5000000</v>
      </c>
      <c r="B27" s="248">
        <f>C12</f>
        <v>45015</v>
      </c>
      <c r="C27" s="258">
        <f>G12</f>
        <v>135240</v>
      </c>
      <c r="D27" s="249">
        <f>SUM(B27:C27)</f>
        <v>180255</v>
      </c>
      <c r="E27" s="250">
        <v>45015</v>
      </c>
      <c r="F27" s="261">
        <v>141900</v>
      </c>
      <c r="G27" s="249">
        <f>SUM(E27:F27)</f>
        <v>186915</v>
      </c>
      <c r="H27" s="5">
        <f>D27/G27</f>
        <v>0.9643688307519461</v>
      </c>
    </row>
    <row r="28" spans="1:8" ht="18" customHeight="1">
      <c r="A28" s="251">
        <v>50000000</v>
      </c>
      <c r="B28" s="252">
        <f>C15</f>
        <v>95515</v>
      </c>
      <c r="C28" s="259">
        <f>G15</f>
        <v>262240</v>
      </c>
      <c r="D28" s="253">
        <f>SUM(B28:C28)</f>
        <v>357755</v>
      </c>
      <c r="E28" s="254">
        <v>95515</v>
      </c>
      <c r="F28" s="262">
        <v>281200</v>
      </c>
      <c r="G28" s="253">
        <f>SUM(E28:F28)</f>
        <v>376715</v>
      </c>
      <c r="H28" s="5">
        <f>D28/G28</f>
        <v>0.9496701750660314</v>
      </c>
    </row>
  </sheetData>
  <sheetProtection/>
  <mergeCells count="10">
    <mergeCell ref="A23:G23"/>
    <mergeCell ref="B24:D24"/>
    <mergeCell ref="E24:G24"/>
    <mergeCell ref="E2:H2"/>
    <mergeCell ref="E3:F3"/>
    <mergeCell ref="G3:H3"/>
    <mergeCell ref="A4:B4"/>
    <mergeCell ref="C4:D4"/>
    <mergeCell ref="E4:F4"/>
    <mergeCell ref="G4:H4"/>
  </mergeCells>
  <printOptions/>
  <pageMargins left="0.511811024" right="0.511811024" top="0.787401575" bottom="0.787401575" header="0.31496062" footer="0.31496062"/>
  <pageSetup orientation="portrait" r:id="rId1"/>
</worksheet>
</file>

<file path=xl/worksheets/sheet9.xml><?xml version="1.0" encoding="utf-8"?>
<worksheet xmlns="http://schemas.openxmlformats.org/spreadsheetml/2006/main" xmlns:r="http://schemas.openxmlformats.org/officeDocument/2006/relationships">
  <dimension ref="A2:O28"/>
  <sheetViews>
    <sheetView zoomScalePageLayoutView="0" workbookViewId="0" topLeftCell="A1">
      <selection activeCell="G5" sqref="G5"/>
    </sheetView>
  </sheetViews>
  <sheetFormatPr defaultColWidth="9.140625" defaultRowHeight="12.75"/>
  <cols>
    <col min="1" max="1" width="12.7109375" style="5" customWidth="1"/>
    <col min="2" max="2" width="12.421875" style="5" customWidth="1"/>
    <col min="3" max="3" width="9.7109375" style="5" customWidth="1"/>
    <col min="4" max="8" width="9.140625" style="5" customWidth="1"/>
    <col min="9" max="9" width="8.8515625" style="0" customWidth="1"/>
    <col min="10" max="10" width="9.140625" style="5" customWidth="1"/>
    <col min="11" max="11" width="11.57421875" style="5" customWidth="1"/>
    <col min="12" max="12" width="11.00390625" style="5" customWidth="1"/>
    <col min="13" max="13" width="10.57421875" style="5" customWidth="1"/>
    <col min="14" max="14" width="8.00390625" style="5" bestFit="1" customWidth="1"/>
    <col min="15" max="15" width="8.421875" style="5" bestFit="1" customWidth="1"/>
    <col min="16" max="16384" width="9.140625" style="5" customWidth="1"/>
  </cols>
  <sheetData>
    <row r="2" spans="3:13" ht="12.75">
      <c r="C2" s="200" t="s">
        <v>542</v>
      </c>
      <c r="D2" s="196"/>
      <c r="E2" s="699" t="s">
        <v>541</v>
      </c>
      <c r="F2" s="700"/>
      <c r="G2" s="700"/>
      <c r="H2" s="701"/>
      <c r="M2" s="5" t="s">
        <v>556</v>
      </c>
    </row>
    <row r="3" spans="2:15" ht="12.75">
      <c r="B3" s="201"/>
      <c r="C3" s="202"/>
      <c r="D3" s="203"/>
      <c r="E3" s="702" t="s">
        <v>545</v>
      </c>
      <c r="F3" s="703"/>
      <c r="G3" s="704" t="s">
        <v>539</v>
      </c>
      <c r="H3" s="705"/>
      <c r="J3" s="230"/>
      <c r="K3" s="231"/>
      <c r="N3" s="201" t="s">
        <v>547</v>
      </c>
      <c r="O3" s="201" t="s">
        <v>555</v>
      </c>
    </row>
    <row r="4" spans="1:15" ht="12.75">
      <c r="A4" s="706" t="s">
        <v>544</v>
      </c>
      <c r="B4" s="707"/>
      <c r="C4" s="699" t="s">
        <v>543</v>
      </c>
      <c r="D4" s="701"/>
      <c r="E4" s="699" t="s">
        <v>543</v>
      </c>
      <c r="F4" s="701"/>
      <c r="G4" s="699" t="s">
        <v>543</v>
      </c>
      <c r="H4" s="701"/>
      <c r="J4" s="232" t="s">
        <v>538</v>
      </c>
      <c r="K4" s="232" t="s">
        <v>539</v>
      </c>
      <c r="L4" s="232" t="s">
        <v>536</v>
      </c>
      <c r="M4" s="233" t="s">
        <v>546</v>
      </c>
      <c r="N4" s="255">
        <f>500/1.71</f>
        <v>292.39766081871346</v>
      </c>
      <c r="O4" s="234" t="s">
        <v>535</v>
      </c>
    </row>
    <row r="5" spans="1:15" ht="18.75" customHeight="1">
      <c r="A5" s="204"/>
      <c r="B5" s="205">
        <v>50000</v>
      </c>
      <c r="C5" s="206">
        <v>2700</v>
      </c>
      <c r="D5" s="207"/>
      <c r="E5" s="208">
        <f>B5*F5</f>
        <v>2700</v>
      </c>
      <c r="F5" s="209">
        <f>6%*0.9</f>
        <v>0.054</v>
      </c>
      <c r="G5" s="210">
        <f>H5*B5</f>
        <v>8100</v>
      </c>
      <c r="H5" s="211">
        <v>0.162</v>
      </c>
      <c r="J5" s="235">
        <f>(B5)*F5</f>
        <v>2700</v>
      </c>
      <c r="K5" s="236">
        <f>H5*B5</f>
        <v>8100</v>
      </c>
      <c r="L5" s="237">
        <f>(J5+K5)/2</f>
        <v>5400</v>
      </c>
      <c r="M5" s="238">
        <f>L5/$N$4</f>
        <v>18.468</v>
      </c>
      <c r="N5" s="233"/>
      <c r="O5" s="234">
        <v>2</v>
      </c>
    </row>
    <row r="6" spans="1:15" ht="18.75" customHeight="1">
      <c r="A6" s="212">
        <v>50001</v>
      </c>
      <c r="B6" s="213">
        <v>100000</v>
      </c>
      <c r="C6" s="212">
        <v>2700</v>
      </c>
      <c r="D6" s="214">
        <v>0.03</v>
      </c>
      <c r="E6" s="212">
        <f>J5</f>
        <v>2700</v>
      </c>
      <c r="F6" s="215">
        <v>0.0239</v>
      </c>
      <c r="G6" s="216">
        <f>K5</f>
        <v>8100</v>
      </c>
      <c r="H6" s="217">
        <v>0.122</v>
      </c>
      <c r="J6" s="235">
        <f aca="true" t="shared" si="0" ref="J6:J18">((B6-B5)*F6)+E6</f>
        <v>3895</v>
      </c>
      <c r="K6" s="235">
        <f aca="true" t="shared" si="1" ref="K6:K18">((B6-B5)*H6)+G6</f>
        <v>14200</v>
      </c>
      <c r="L6" s="237">
        <f aca="true" t="shared" si="2" ref="L6:L18">(J6+K6)/2</f>
        <v>9047.5</v>
      </c>
      <c r="M6" s="238">
        <f aca="true" t="shared" si="3" ref="M6:M18">L6/$N$4</f>
        <v>30.942449999999997</v>
      </c>
      <c r="N6" s="233"/>
      <c r="O6" s="234">
        <v>6</v>
      </c>
    </row>
    <row r="7" spans="1:15" ht="18.75" customHeight="1">
      <c r="A7" s="218">
        <v>100001</v>
      </c>
      <c r="B7" s="219">
        <v>200000</v>
      </c>
      <c r="C7" s="218">
        <f>C6+(B6-B5)*D6</f>
        <v>4200</v>
      </c>
      <c r="D7" s="220">
        <v>0.025</v>
      </c>
      <c r="E7" s="218">
        <f>J6</f>
        <v>3895</v>
      </c>
      <c r="F7" s="221">
        <v>0.0225</v>
      </c>
      <c r="G7" s="222">
        <f>K6</f>
        <v>14200</v>
      </c>
      <c r="H7" s="223">
        <v>0.0891</v>
      </c>
      <c r="J7" s="235">
        <f t="shared" si="0"/>
        <v>6145</v>
      </c>
      <c r="K7" s="235">
        <f t="shared" si="1"/>
        <v>23110</v>
      </c>
      <c r="L7" s="237">
        <f t="shared" si="2"/>
        <v>14627.5</v>
      </c>
      <c r="M7" s="238">
        <f t="shared" si="3"/>
        <v>50.02605</v>
      </c>
      <c r="N7" s="239"/>
      <c r="O7" s="240">
        <v>8</v>
      </c>
    </row>
    <row r="8" spans="1:15" ht="18.75" customHeight="1">
      <c r="A8" s="212">
        <v>200001</v>
      </c>
      <c r="B8" s="213">
        <v>500000</v>
      </c>
      <c r="C8" s="212">
        <f aca="true" t="shared" si="4" ref="C8:C18">C7+(B7-B6)*D7</f>
        <v>6700</v>
      </c>
      <c r="D8" s="224">
        <v>0.0209</v>
      </c>
      <c r="E8" s="212">
        <f>J7</f>
        <v>6145</v>
      </c>
      <c r="F8" s="215">
        <v>0.0123</v>
      </c>
      <c r="G8" s="216">
        <f aca="true" t="shared" si="5" ref="G8:G18">K7</f>
        <v>23110</v>
      </c>
      <c r="H8" s="217">
        <v>0.0615</v>
      </c>
      <c r="J8" s="235">
        <f t="shared" si="0"/>
        <v>9835</v>
      </c>
      <c r="K8" s="235">
        <f t="shared" si="1"/>
        <v>41560</v>
      </c>
      <c r="L8" s="237">
        <f t="shared" si="2"/>
        <v>25697.5</v>
      </c>
      <c r="M8" s="238">
        <f t="shared" si="3"/>
        <v>87.88544999999999</v>
      </c>
      <c r="N8" s="241"/>
      <c r="O8" s="240">
        <v>10</v>
      </c>
    </row>
    <row r="9" spans="1:15" ht="18.75" customHeight="1">
      <c r="A9" s="218">
        <v>500001</v>
      </c>
      <c r="B9" s="219">
        <v>1000000</v>
      </c>
      <c r="C9" s="218">
        <f t="shared" si="4"/>
        <v>12970</v>
      </c>
      <c r="D9" s="220">
        <v>0.0151</v>
      </c>
      <c r="E9" s="218">
        <f aca="true" t="shared" si="6" ref="E9:E18">J8</f>
        <v>9835</v>
      </c>
      <c r="F9" s="221">
        <v>0.0086</v>
      </c>
      <c r="G9" s="222">
        <f t="shared" si="5"/>
        <v>41560</v>
      </c>
      <c r="H9" s="223">
        <v>0.04028</v>
      </c>
      <c r="J9" s="235">
        <f t="shared" si="0"/>
        <v>14135</v>
      </c>
      <c r="K9" s="235">
        <f t="shared" si="1"/>
        <v>61700</v>
      </c>
      <c r="L9" s="237">
        <f t="shared" si="2"/>
        <v>37917.5</v>
      </c>
      <c r="M9" s="238">
        <f t="shared" si="3"/>
        <v>129.67785</v>
      </c>
      <c r="N9" s="233"/>
      <c r="O9" s="240">
        <v>14</v>
      </c>
    </row>
    <row r="10" spans="1:15" ht="18.75" customHeight="1">
      <c r="A10" s="212">
        <v>1000001</v>
      </c>
      <c r="B10" s="213">
        <v>2000000</v>
      </c>
      <c r="C10" s="212">
        <f t="shared" si="4"/>
        <v>20520</v>
      </c>
      <c r="D10" s="224">
        <v>0.0095</v>
      </c>
      <c r="E10" s="212">
        <f t="shared" si="6"/>
        <v>14135</v>
      </c>
      <c r="F10" s="215">
        <v>0.0063</v>
      </c>
      <c r="G10" s="216">
        <f t="shared" si="5"/>
        <v>61700</v>
      </c>
      <c r="H10" s="217">
        <v>0.03604</v>
      </c>
      <c r="J10" s="235">
        <f t="shared" si="0"/>
        <v>20435</v>
      </c>
      <c r="K10" s="235">
        <f t="shared" si="1"/>
        <v>97740</v>
      </c>
      <c r="L10" s="237">
        <f t="shared" si="2"/>
        <v>59087.5</v>
      </c>
      <c r="M10" s="238">
        <f t="shared" si="3"/>
        <v>202.07925</v>
      </c>
      <c r="N10" s="233"/>
      <c r="O10" s="240">
        <v>84</v>
      </c>
    </row>
    <row r="11" spans="1:15" ht="18.75" customHeight="1">
      <c r="A11" s="218">
        <v>2000001</v>
      </c>
      <c r="B11" s="219">
        <v>5000000</v>
      </c>
      <c r="C11" s="218">
        <f t="shared" si="4"/>
        <v>30020</v>
      </c>
      <c r="D11" s="220">
        <v>0.0046</v>
      </c>
      <c r="E11" s="218">
        <f t="shared" si="6"/>
        <v>20435</v>
      </c>
      <c r="F11" s="221">
        <v>0.0034</v>
      </c>
      <c r="G11" s="222">
        <f t="shared" si="5"/>
        <v>97740</v>
      </c>
      <c r="H11" s="223">
        <v>0.0125</v>
      </c>
      <c r="J11" s="235">
        <f t="shared" si="0"/>
        <v>30635</v>
      </c>
      <c r="K11" s="235">
        <f t="shared" si="1"/>
        <v>135240</v>
      </c>
      <c r="L11" s="237">
        <f t="shared" si="2"/>
        <v>82937.5</v>
      </c>
      <c r="M11" s="238">
        <f t="shared" si="3"/>
        <v>283.64625</v>
      </c>
      <c r="N11" s="233"/>
      <c r="O11" s="240">
        <v>26</v>
      </c>
    </row>
    <row r="12" spans="1:15" ht="18.75" customHeight="1">
      <c r="A12" s="212">
        <v>5000001</v>
      </c>
      <c r="B12" s="213">
        <v>10000000</v>
      </c>
      <c r="C12" s="212">
        <f t="shared" si="4"/>
        <v>43820</v>
      </c>
      <c r="D12" s="224">
        <v>0.0025</v>
      </c>
      <c r="E12" s="212">
        <f t="shared" si="6"/>
        <v>30635</v>
      </c>
      <c r="F12" s="215">
        <v>0.0012</v>
      </c>
      <c r="G12" s="216">
        <f t="shared" si="5"/>
        <v>135240</v>
      </c>
      <c r="H12" s="217">
        <v>0.0082</v>
      </c>
      <c r="J12" s="235">
        <f t="shared" si="0"/>
        <v>36635</v>
      </c>
      <c r="K12" s="235">
        <f t="shared" si="1"/>
        <v>176240</v>
      </c>
      <c r="L12" s="237">
        <f t="shared" si="2"/>
        <v>106437.5</v>
      </c>
      <c r="M12" s="238">
        <f t="shared" si="3"/>
        <v>364.01625</v>
      </c>
      <c r="N12" s="233"/>
      <c r="O12" s="240">
        <v>18</v>
      </c>
    </row>
    <row r="13" spans="1:15" ht="18.75" customHeight="1">
      <c r="A13" s="218">
        <v>10000001</v>
      </c>
      <c r="B13" s="219">
        <v>30000000</v>
      </c>
      <c r="C13" s="218">
        <f t="shared" si="4"/>
        <v>56320</v>
      </c>
      <c r="D13" s="220">
        <v>0.001</v>
      </c>
      <c r="E13" s="218">
        <f t="shared" si="6"/>
        <v>36635</v>
      </c>
      <c r="F13" s="221">
        <v>0.00058</v>
      </c>
      <c r="G13" s="222">
        <f t="shared" si="5"/>
        <v>176240</v>
      </c>
      <c r="H13" s="223">
        <v>0.0022</v>
      </c>
      <c r="J13" s="235">
        <f t="shared" si="0"/>
        <v>48235</v>
      </c>
      <c r="K13" s="235">
        <f t="shared" si="1"/>
        <v>220240</v>
      </c>
      <c r="L13" s="237">
        <f t="shared" si="2"/>
        <v>134237.5</v>
      </c>
      <c r="M13" s="238">
        <f t="shared" si="3"/>
        <v>459.09225</v>
      </c>
      <c r="N13" s="233"/>
      <c r="O13" s="240">
        <v>34</v>
      </c>
    </row>
    <row r="14" spans="1:15" ht="18.75" customHeight="1">
      <c r="A14" s="212">
        <v>30000001</v>
      </c>
      <c r="B14" s="213">
        <v>50000000</v>
      </c>
      <c r="C14" s="212">
        <f t="shared" si="4"/>
        <v>76320</v>
      </c>
      <c r="D14" s="224">
        <v>0.0009</v>
      </c>
      <c r="E14" s="212">
        <f t="shared" si="6"/>
        <v>48235</v>
      </c>
      <c r="F14" s="215">
        <v>0.00053</v>
      </c>
      <c r="G14" s="216">
        <f t="shared" si="5"/>
        <v>220240</v>
      </c>
      <c r="H14" s="217">
        <v>0.0021</v>
      </c>
      <c r="J14" s="235">
        <f t="shared" si="0"/>
        <v>58835</v>
      </c>
      <c r="K14" s="235">
        <f t="shared" si="1"/>
        <v>262240</v>
      </c>
      <c r="L14" s="237">
        <f t="shared" si="2"/>
        <v>160537.5</v>
      </c>
      <c r="M14" s="238">
        <f t="shared" si="3"/>
        <v>549.03825</v>
      </c>
      <c r="N14" s="233"/>
      <c r="O14" s="240">
        <v>4</v>
      </c>
    </row>
    <row r="15" spans="1:15" ht="18.75" customHeight="1">
      <c r="A15" s="218">
        <v>50000001</v>
      </c>
      <c r="B15" s="219">
        <v>80000000</v>
      </c>
      <c r="C15" s="218">
        <f t="shared" si="4"/>
        <v>94320</v>
      </c>
      <c r="D15" s="220">
        <v>0.0001</v>
      </c>
      <c r="E15" s="218">
        <f t="shared" si="6"/>
        <v>58835</v>
      </c>
      <c r="F15" s="221">
        <v>0.0003</v>
      </c>
      <c r="G15" s="222">
        <f t="shared" si="5"/>
        <v>262240</v>
      </c>
      <c r="H15" s="223">
        <v>0.0014</v>
      </c>
      <c r="J15" s="235">
        <f t="shared" si="0"/>
        <v>67835</v>
      </c>
      <c r="K15" s="235">
        <f t="shared" si="1"/>
        <v>304240</v>
      </c>
      <c r="L15" s="237">
        <f t="shared" si="2"/>
        <v>186037.5</v>
      </c>
      <c r="M15" s="238">
        <f t="shared" si="3"/>
        <v>636.24825</v>
      </c>
      <c r="N15" s="233"/>
      <c r="O15" s="240">
        <v>8</v>
      </c>
    </row>
    <row r="16" spans="1:15" ht="18.75" customHeight="1">
      <c r="A16" s="212">
        <v>80000001</v>
      </c>
      <c r="B16" s="213">
        <v>100000000</v>
      </c>
      <c r="C16" s="212">
        <f t="shared" si="4"/>
        <v>97320</v>
      </c>
      <c r="D16" s="224">
        <v>3.5E-05</v>
      </c>
      <c r="E16" s="212">
        <f t="shared" si="6"/>
        <v>67835</v>
      </c>
      <c r="F16" s="215">
        <v>0.0002</v>
      </c>
      <c r="G16" s="216">
        <f t="shared" si="5"/>
        <v>304240</v>
      </c>
      <c r="H16" s="217">
        <v>0.0011</v>
      </c>
      <c r="J16" s="235">
        <f t="shared" si="0"/>
        <v>71835</v>
      </c>
      <c r="K16" s="235">
        <f t="shared" si="1"/>
        <v>326240</v>
      </c>
      <c r="L16" s="237">
        <f t="shared" si="2"/>
        <v>199037.5</v>
      </c>
      <c r="M16" s="238">
        <f t="shared" si="3"/>
        <v>680.70825</v>
      </c>
      <c r="N16" s="233"/>
      <c r="O16" s="240">
        <v>1</v>
      </c>
    </row>
    <row r="17" spans="1:15" ht="18.75" customHeight="1">
      <c r="A17" s="218">
        <v>100000001</v>
      </c>
      <c r="B17" s="219">
        <v>500000000</v>
      </c>
      <c r="C17" s="218">
        <f t="shared" si="4"/>
        <v>98020</v>
      </c>
      <c r="D17" s="220">
        <v>2E-05</v>
      </c>
      <c r="E17" s="218">
        <f t="shared" si="6"/>
        <v>71835</v>
      </c>
      <c r="F17" s="221">
        <v>0.0001</v>
      </c>
      <c r="G17" s="222">
        <f t="shared" si="5"/>
        <v>326240</v>
      </c>
      <c r="H17" s="223">
        <v>0.0005</v>
      </c>
      <c r="J17" s="235">
        <f t="shared" si="0"/>
        <v>111835</v>
      </c>
      <c r="K17" s="235">
        <f t="shared" si="1"/>
        <v>526240</v>
      </c>
      <c r="L17" s="237">
        <f t="shared" si="2"/>
        <v>319037.5</v>
      </c>
      <c r="M17" s="238">
        <f t="shared" si="3"/>
        <v>1091.10825</v>
      </c>
      <c r="N17" s="233"/>
      <c r="O17" s="240">
        <v>1</v>
      </c>
    </row>
    <row r="18" spans="1:15" ht="18.75" customHeight="1">
      <c r="A18" s="202" t="s">
        <v>537</v>
      </c>
      <c r="B18" s="225"/>
      <c r="C18" s="202">
        <f t="shared" si="4"/>
        <v>106020</v>
      </c>
      <c r="D18" s="226"/>
      <c r="E18" s="202">
        <f t="shared" si="6"/>
        <v>111835</v>
      </c>
      <c r="F18" s="227">
        <v>9E-05</v>
      </c>
      <c r="G18" s="228">
        <f t="shared" si="5"/>
        <v>526240</v>
      </c>
      <c r="H18" s="229">
        <v>0.0004</v>
      </c>
      <c r="J18" s="235">
        <f t="shared" si="0"/>
        <v>66835</v>
      </c>
      <c r="K18" s="235">
        <f t="shared" si="1"/>
        <v>326240</v>
      </c>
      <c r="L18" s="237">
        <f t="shared" si="2"/>
        <v>196537.5</v>
      </c>
      <c r="M18" s="238">
        <f t="shared" si="3"/>
        <v>672.15825</v>
      </c>
      <c r="N18" s="233"/>
      <c r="O18" s="240">
        <v>1</v>
      </c>
    </row>
    <row r="23" spans="1:7" ht="18" customHeight="1">
      <c r="A23" s="693" t="s">
        <v>548</v>
      </c>
      <c r="B23" s="694"/>
      <c r="C23" s="694"/>
      <c r="D23" s="694"/>
      <c r="E23" s="694"/>
      <c r="F23" s="694"/>
      <c r="G23" s="695"/>
    </row>
    <row r="24" spans="1:7" ht="18" customHeight="1">
      <c r="A24" s="242"/>
      <c r="B24" s="696" t="s">
        <v>552</v>
      </c>
      <c r="C24" s="697"/>
      <c r="D24" s="698"/>
      <c r="E24" s="696" t="s">
        <v>551</v>
      </c>
      <c r="F24" s="697"/>
      <c r="G24" s="698"/>
    </row>
    <row r="25" spans="1:7" ht="18" customHeight="1">
      <c r="A25" s="199" t="s">
        <v>554</v>
      </c>
      <c r="B25" s="197" t="s">
        <v>549</v>
      </c>
      <c r="C25" s="256" t="s">
        <v>550</v>
      </c>
      <c r="D25" s="198" t="s">
        <v>553</v>
      </c>
      <c r="E25" s="197" t="s">
        <v>549</v>
      </c>
      <c r="F25" s="256" t="s">
        <v>550</v>
      </c>
      <c r="G25" s="198" t="s">
        <v>553</v>
      </c>
    </row>
    <row r="26" spans="1:8" ht="18" customHeight="1">
      <c r="A26" s="243">
        <f>B9</f>
        <v>1000000</v>
      </c>
      <c r="B26" s="244">
        <f>C10</f>
        <v>20520</v>
      </c>
      <c r="C26" s="257">
        <f>G10</f>
        <v>61700</v>
      </c>
      <c r="D26" s="245">
        <f>SUM(B26:C26)</f>
        <v>82220</v>
      </c>
      <c r="E26" s="246">
        <v>21715</v>
      </c>
      <c r="F26" s="260">
        <v>64130</v>
      </c>
      <c r="G26" s="245">
        <f>SUM(E26:F26)</f>
        <v>85845</v>
      </c>
      <c r="H26" s="5">
        <f>D26/G26</f>
        <v>0.957772729920205</v>
      </c>
    </row>
    <row r="27" spans="1:8" ht="18" customHeight="1">
      <c r="A27" s="247">
        <v>5000000</v>
      </c>
      <c r="B27" s="248">
        <f>C12</f>
        <v>43820</v>
      </c>
      <c r="C27" s="258">
        <f>G12</f>
        <v>135240</v>
      </c>
      <c r="D27" s="249">
        <f>SUM(B27:C27)</f>
        <v>179060</v>
      </c>
      <c r="E27" s="250">
        <v>45015</v>
      </c>
      <c r="F27" s="261">
        <v>141900</v>
      </c>
      <c r="G27" s="249">
        <f>SUM(E27:F27)</f>
        <v>186915</v>
      </c>
      <c r="H27" s="5">
        <f>D27/G27</f>
        <v>0.9579755503838643</v>
      </c>
    </row>
    <row r="28" spans="1:8" ht="18" customHeight="1">
      <c r="A28" s="251">
        <v>50000000</v>
      </c>
      <c r="B28" s="252">
        <f>C15</f>
        <v>94320</v>
      </c>
      <c r="C28" s="259">
        <f>G15</f>
        <v>262240</v>
      </c>
      <c r="D28" s="253">
        <f>SUM(B28:C28)</f>
        <v>356560</v>
      </c>
      <c r="E28" s="254">
        <v>95515</v>
      </c>
      <c r="F28" s="262">
        <v>281200</v>
      </c>
      <c r="G28" s="253">
        <f>SUM(E28:F28)</f>
        <v>376715</v>
      </c>
      <c r="H28" s="5">
        <f>D28/G28</f>
        <v>0.946498015741343</v>
      </c>
    </row>
  </sheetData>
  <sheetProtection/>
  <mergeCells count="10">
    <mergeCell ref="E24:G24"/>
    <mergeCell ref="B24:D24"/>
    <mergeCell ref="A23:G23"/>
    <mergeCell ref="E2:H2"/>
    <mergeCell ref="A4:B4"/>
    <mergeCell ref="C4:D4"/>
    <mergeCell ref="E4:F4"/>
    <mergeCell ref="G4:H4"/>
    <mergeCell ref="E3:F3"/>
    <mergeCell ref="G3:H3"/>
  </mergeCells>
  <printOptions/>
  <pageMargins left="0.511811024" right="0.511811024" top="0.787401575" bottom="0.787401575" header="0.31496062" footer="0.3149606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dc:creator>
  <cp:keywords/>
  <dc:description/>
  <cp:lastModifiedBy>Cassiane de Souza Zambão</cp:lastModifiedBy>
  <cp:lastPrinted>2011-12-21T18:07:32Z</cp:lastPrinted>
  <dcterms:created xsi:type="dcterms:W3CDTF">2008-12-07T17:14:08Z</dcterms:created>
  <dcterms:modified xsi:type="dcterms:W3CDTF">2017-06-27T19:36:52Z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